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0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0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<sst xmlns="http://schemas.openxmlformats.org/spreadsheetml/2006/main" count="807" uniqueCount="714">
  <si>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</si>
  <si>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</si>
  <si>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</si>
  <si>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</si>
  <si>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</si>
  <si>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</si>
  <si>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</si>
  <si>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</si>
  <si>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</si>
  <si>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</si>
  <si>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</si>
  <si>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</si>
  <si>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</si>
  <si>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</si>
  <si>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</si>
  <si>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</si>
  <si>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</si>
  <si>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</si>
  <si>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</si>
  <si>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</si>
  <si>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</si>
  <si>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</si>
  <si>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</si>
  <si>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</si>
  <si>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</si>
  <si>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</si>
  <si>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</si>
  <si>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</si>
  <si>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</si>
  <si>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</si>
  <si>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</si>
  <si>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</si>
  <si>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</si>
  <si>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</si>
  <si>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</si>
  <si>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</si>
  <si>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</si>
  <si>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</si>
  <si>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</si>
  <si>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</si>
  <si>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</si>
  <si>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</si>
  <si>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</si>
  <si>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</si>
  <si>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</si>
  <si>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</si>
  <si>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</si>
  <si>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</si>
  <si>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</si>
  <si>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</si>
  <si>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</si>
  <si>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</si>
  <si>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</si>
  <si>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</si>
  <si>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</si>
  <si>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</si>
  <si>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</si>
  <si>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</si>
  <si>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</si>
  <si>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</si>
  <si>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</si>
  <si>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</si>
  <si>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</si>
  <si>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</si>
  <si>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</si>
  <si>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</si>
  <si>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</si>
  <si>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</si>
  <si>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</si>
  <si>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</si>
  <si>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</si>
  <si>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</si>
  <si>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</si>
  <si>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</si>
  <si>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</si>
  <si>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</si>
  <si>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</si>
  <si>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</si>
  <si>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</si>
  <si>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</si>
  <si>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</si>
  <si>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</si>
  <si>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</si>
  <si>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</si>
  <si>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</si>
  <si>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</si>
  <si>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</si>
  <si>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</si>
  <si>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</si>
  <si>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</si>
  <si>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</si>
  <si>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</si>
  <si>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</si>
  <si>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</si>
  <si>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</si>
  <si>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</si>
  <si>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</si>
  <si>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</si>
  <si>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</si>
  <si>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</si>
  <si>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</si>
  <si>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</si>
  <si>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</si>
  <si>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</si>
  <si>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</si>
  <si>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</si>
  <si>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</si>
  <si>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</si>
  <si>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</si>
  <si>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</si>
  <si>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</si>
  <si>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</si>
  <si>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</si>
  <si>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</si>
  <si>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</si>
  <si>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</si>
  <si>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</si>
  <si>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</si>
  <si>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</si>
  <si>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</si>
  <si>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</si>
  <si>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</si>
  <si>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</si>
  <si>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</si>
  <si>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</si>
  <si>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</si>
  <si>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</si>
  <si>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</si>
  <si>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</si>
  <si>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</si>
  <si>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</si>
  <si>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</si>
  <si>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</si>
  <si>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</si>
  <si>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</si>
  <si>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</si>
  <si>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</si>
  <si>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</si>
  <si>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</si>
  <si>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</si>
  <si>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</si>
  <si>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</si>
  <si>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</si>
  <si>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</si>
  <si>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</si>
  <si>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</si>
  <si>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</si>
  <si>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</si>
  <si>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</si>
  <si>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</si>
  <si>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</si>
  <si>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</si>
  <si>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</si>
  <si>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</si>
  <si>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</si>
  <si>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</si>
  <si>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</si>
  <si>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</si>
  <si>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</si>
  <si>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</si>
  <si>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</si>
  <si>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</si>
  <si>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</si>
  <si>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</si>
  <si>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</si>
  <si>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</si>
  <si>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</si>
  <si>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</si>
  <si>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</si>
  <si>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</si>
  <si>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</si>
  <si>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</si>
  <si>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</si>
  <si>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</si>
  <si>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</si>
  <si>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</si>
  <si>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</si>
  <si>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</si>
  <si>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</si>
  <si>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</si>
  <si>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</si>
  <si>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</si>
  <si>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</si>
  <si>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</si>
  <si>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</si>
  <si>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</si>
  <si>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</si>
  <si>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</si>
  <si>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</si>
  <si>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</si>
  <si>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</si>
  <si>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</si>
  <si>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</si>
  <si>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</si>
  <si>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</si>
  <si>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</si>
  <si>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</si>
  <si>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</si>
  <si>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</si>
  <si>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</si>
  <si>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</si>
  <si>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</si>
  <si>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</si>
  <si>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</si>
  <si>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</si>
  <si>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</si>
  <si>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</si>
  <si>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</si>
  <si>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</si>
  <si>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</si>
  <si>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</si>
  <si>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</si>
  <si>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</si>
  <si>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</si>
  <si>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</si>
  <si>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</si>
  <si>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</si>
  <si>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</si>
  <si>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</si>
  <si>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</si>
  <si>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</si>
  <si>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</si>
  <si>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</si>
  <si>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</si>
  <si>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</si>
  <si>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</si>
  <si>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</si>
  <si>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</si>
  <si>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</si>
  <si>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</si>
  <si>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</si>
  <si>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</si>
  <si>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</si>
  <si>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</si>
  <si>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</si>
  <si>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</si>
  <si>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</si>
  <si>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</si>
  <si>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</si>
  <si>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</si>
  <si>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</si>
  <si>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</si>
  <si>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</si>
  <si>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</si>
  <si>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</si>
  <si>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</si>
  <si>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</si>
  <si>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</si>
  <si>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</si>
  <si>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</si>
  <si>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</si>
  <si>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</si>
  <si>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</si>
  <si>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</si>
  <si>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</si>
  <si>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</si>
  <si>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</si>
  <si>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</si>
  <si>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</si>
  <si>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</si>
  <si>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</si>
  <si>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</si>
  <si>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</si>
  <si>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</si>
  <si>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</si>
  <si>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</si>
  <si>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</si>
  <si>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</si>
  <si>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</si>
  <si>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</si>
  <si>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</si>
  <si>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</si>
  <si>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</si>
  <si>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</si>
  <si>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</si>
  <si>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</si>
  <si>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</si>
  <si>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</si>
  <si>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</si>
  <si>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</si>
  <si>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</si>
  <si>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</si>
  <si>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</si>
  <si>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</si>
  <si>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</si>
  <si>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</si>
  <si>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</si>
  <si>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</si>
  <si>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</si>
  <si>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</si>
  <si>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</si>
  <si>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</si>
  <si>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</si>
  <si>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</si>
  <si>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</si>
  <si>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</si>
  <si>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</si>
  <si>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</si>
  <si>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</si>
  <si>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</si>
  <si>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</si>
  <si>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</si>
  <si>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</si>
  <si>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</si>
  <si>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</si>
  <si>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</si>
  <si>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</si>
  <si>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</si>
  <si>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</si>
  <si>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</si>
  <si>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</si>
  <si>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</si>
  <si>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</si>
  <si>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</si>
  <si>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</si>
  <si>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</si>
  <si>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</si>
  <si>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</si>
  <si>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</si>
  <si>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</si>
  <si>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</si>
  <si>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</si>
  <si>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</si>
  <si>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</si>
  <si>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</si>
  <si>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</si>
  <si>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</si>
  <si>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</si>
  <si>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</si>
  <si>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</si>
  <si>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</si>
  <si>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</si>
  <si>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</si>
  <si>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</si>
  <si>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</si>
  <si>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</si>
  <si>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</si>
  <si>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</si>
  <si>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</si>
  <si>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</si>
  <si>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</si>
  <si>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</si>
  <si>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</si>
  <si>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</si>
  <si>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</si>
  <si>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</si>
  <si>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</si>
  <si>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</si>
  <si>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</si>
  <si>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</si>
  <si>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</si>
  <si>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</si>
  <si>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</si>
  <si>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</si>
  <si>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</si>
  <si>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</si>
  <si>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</si>
  <si>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</si>
  <si>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</si>
  <si>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</si>
  <si>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</si>
  <si>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</si>
  <si>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</si>
  <si>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</si>
  <si>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</si>
  <si>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</si>
  <si>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</si>
  <si>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</si>
  <si>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</si>
  <si>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</si>
  <si>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</si>
  <si>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</si>
  <si>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</si>
  <si>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</si>
  <si>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</si>
  <si>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</si>
  <si>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</si>
  <si>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</si>
  <si>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</si>
  <si>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</si>
  <si>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</si>
  <si>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</si>
  <si>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</si>
  <si>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</si>
  <si>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</si>
  <si>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</si>
  <si>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</si>
  <si>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</si>
  <si>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</si>
  <si>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</si>
  <si>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</si>
  <si>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</si>
  <si>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</si>
  <si>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</si>
  <si>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</si>
  <si>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</si>
  <si>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</si>
  <si>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</si>
  <si>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</si>
  <si>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</si>
  <si>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</si>
  <si>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</si>
  <si>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</si>
  <si>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</si>
  <si>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</si>
  <si>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</si>
  <si>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</si>
  <si>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</si>
  <si>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</si>
  <si>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</si>
  <si>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</si>
  <si>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</si>
  <si>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</si>
  <si>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</si>
  <si>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</si>
  <si>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</si>
  <si>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</si>
  <si>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</si>
  <si>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</si>
  <si>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</si>
  <si>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</si>
  <si>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</si>
  <si>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</si>
  <si>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</si>
  <si>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</si>
  <si>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</si>
  <si>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</si>
  <si>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</si>
  <si>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</si>
  <si>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</si>
  <si>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</si>
  <si>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</si>
  <si>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</si>
  <si>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</si>
  <si>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</si>
  <si>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</si>
  <si>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</si>
  <si>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</si>
  <si>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</si>
  <si>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</si>
  <si>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</si>
  <si>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</si>
  <si>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</si>
  <si>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</si>
  <si>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</si>
  <si>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</si>
  <si>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</si>
  <si>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</si>
  <si>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</si>
  <si>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</si>
  <si>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</si>
  <si>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</si>
  <si>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</si>
  <si>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</si>
  <si>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</si>
  <si>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</si>
  <si>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</si>
  <si>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</si>
  <si>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</si>
  <si>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</si>
  <si>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</si>
  <si>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</si>
  <si>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</si>
  <si>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</si>
  <si>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</si>
  <si>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</si>
  <si>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</si>
  <si>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</si>
  <si>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</si>
  <si>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</si>
  <si>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</si>
  <si>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</si>
  <si>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</si>
  <si>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</si>
  <si>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</si>
  <si>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</si>
  <si>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</si>
  <si>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</si>
  <si>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</si>
  <si>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</si>
  <si>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</si>
  <si>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</si>
  <si>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</si>
  <si>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</si>
  <si>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</si>
  <si>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</si>
  <si>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</si>
  <si>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</si>
  <si>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</si>
  <si>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</si>
  <si>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</si>
  <si>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</si>
  <si>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</si>
  <si>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</si>
  <si>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</si>
  <si>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</si>
  <si>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</si>
  <si>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</si>
  <si>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</si>
  <si>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</si>
  <si>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</si>
  <si>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</si>
  <si>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</si>
  <si>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</si>
  <si>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</si>
  <si>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</si>
  <si>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</si>
  <si>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</si>
  <si>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</si>
  <si>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</si>
  <si>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</si>
  <si>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</si>
  <si>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</si>
  <si>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</si>
  <si>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</si>
  <si>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</si>
  <si>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</si>
  <si>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</si>
  <si>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</si>
  <si>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</si>
  <si>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</si>
  <si>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</si>
  <si>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</si>
  <si>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</si>
  <si>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</si>
  <si>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</si>
  <si>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</si>
  <si>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</si>
  <si>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</si>
  <si>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</si>
  <si>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</si>
  <si>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</si>
  <si>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</si>
  <si>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</si>
  <si>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</si>
  <si>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</si>
  <si>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</si>
  <si>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</si>
  <si>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</si>
  <si>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</si>
  <si>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</si>
  <si>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</si>
  <si>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</si>
  <si>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</si>
  <si>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</si>
  <si>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</si>
  <si>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</si>
  <si>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</si>
  <si>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</si>
  <si>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</si>
  <si>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</si>
  <si>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</si>
  <si>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</si>
  <si>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</si>
  <si>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</si>
  <si>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</si>
  <si>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</si>
  <si>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</si>
  <si>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</si>
  <si>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</si>
  <si>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</si>
  <si>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</si>
  <si>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</si>
  <si>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</si>
  <si>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</si>
  <si>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</si>
  <si>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</si>
  <si>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</si>
  <si>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</si>
  <si>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</si>
  <si>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J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</si>
  <si>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</si>
  <si>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</si>
  <si>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</si>
  <si>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</si>
  <si>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</si>
  <si>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</si>
  <si>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</si>
  <si>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</si>
  <si>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</si>
  <si>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</si>
  <si>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</si>
  <si>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</si>
  <si>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</si>
  <si>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</si>
  <si>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</si>
  <si>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</si>
  <si>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</si>
  <si>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</si>
  <si>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</si>
  <si>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</si>
  <si>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</si>
  <si>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</si>
  <si>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</si>
  <si>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</si>
  <si>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</si>
  <si>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</si>
  <si>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</si>
  <si>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</si>
  <si>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</si>
  <si>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</si>
  <si>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</si>
  <si>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</si>
  <si>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</si>
  <si>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</si>
  <si>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</si>
  <si>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</si>
  <si>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</si>
  <si>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</si>
  <si>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</si>
  <si>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</si>
  <si>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</si>
  <si>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</si>
  <si>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</si>
  <si>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</si>
  <si>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</si>
  <si>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</si>
  <si>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</si>
  <si>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</si>
  <si>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</si>
  <si>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</si>
  <si>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</si>
  <si>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</si>
  <si>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</si>
  <si>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</si>
  <si>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</si>
  <si>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</si>
  <si>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</si>
  <si>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</si>
  <si>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</si>
  <si>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</si>
  <si>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</si>
  <si>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</si>
  <si>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</si>
  <si>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</si>
  <si>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</si>
  <si>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</si>
  <si>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</si>
  <si>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</si>
  <si>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</si>
  <si>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</si>
  <si>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</si>
  <si>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</si>
  <si>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t>M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</si>
  <si>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</si>
  <si>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</si>
  <si>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</si>
  <si>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</si>
  <si>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</si>
  <si>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</si>
  <si>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</si>
  <si>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</si>
  <si>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</si>
  <si>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</si>
  <si>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</si>
  <si>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</si>
  <si>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</si>
  <si>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</si>
  <si>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</si>
  <si>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</si>
  <si>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</si>
  <si>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</si>
  <si>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</si>
  <si>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</si>
  <si>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</si>
  <si>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</si>
  <si>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</si>
  <si>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</si>
  <si>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</si>
  <si>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</si>
  <si>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</si>
  <si>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</si>
  <si>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</si>
  <si>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</si>
  <si>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</si>
  <si>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</si>
  <si>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</si>
  <si>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</si>
  <si>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</si>
  <si>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</si>
  <si>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</si>
  <si>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</si>
  <si>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</si>
  <si>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</si>
  <si>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</si>
  <si>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</si>
  <si>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</si>
  <si>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</si>
  <si>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</si>
  <si>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</si>
  <si>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</si>
  <si>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</si>
  <si>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</si>
  <si>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</si>
  <si>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</si>
  <si>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</si>
  <si>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</si>
  <si>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</si>
  <si>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</si>
  <si>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</si>
  <si>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</si>
  <si>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</si>
  <si>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</si>
  <si>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</si>
  <si>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</si>
  <si>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</si>
  <si>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</si>
  <si>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</si>
  <si>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Vulvolume &gt; &gt;</t>
  </si>
  <si>
    <t>REFRAC</t>
  </si>
  <si>
    <t>FWH</t>
  </si>
  <si>
    <t>Centennial Blondje</t>
  </si>
  <si>
    <t>hoofdgist</t>
  </si>
  <si>
    <t>Recept 37a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</si>
</sst>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</numFmts>
  <fonts count="120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0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8" applyFont="1" applyFill="1" applyBorder="1" applyAlignment="1">
      <alignment horizontal="center"/>
      <protection/>
    </xf>
    <xf numFmtId="0" fontId="42" fillId="53" borderId="110" xfId="58" applyFont="1" applyFill="1" applyBorder="1" applyAlignment="1">
      <alignment horizontal="center"/>
      <protection/>
    </xf>
    <xf numFmtId="0" fontId="82" fillId="54" borderId="111" xfId="58" applyFont="1" applyFill="1" applyBorder="1" applyAlignment="1">
      <alignment horizontal="center"/>
      <protection/>
    </xf>
    <xf numFmtId="0" fontId="82" fillId="55" borderId="112" xfId="58" applyFont="1" applyFill="1" applyBorder="1" applyAlignment="1">
      <alignment horizontal="center"/>
      <protection/>
    </xf>
    <xf numFmtId="0" fontId="14" fillId="50" borderId="113" xfId="58" applyFont="1" applyFill="1" applyBorder="1" applyAlignment="1">
      <alignment horizontal="center"/>
      <protection/>
    </xf>
    <xf numFmtId="1" fontId="14" fillId="50" borderId="114" xfId="58" applyNumberFormat="1" applyFont="1" applyFill="1" applyBorder="1" applyAlignment="1">
      <alignment horizontal="center"/>
      <protection/>
    </xf>
    <xf numFmtId="0" fontId="40" fillId="53" borderId="115" xfId="58" applyFont="1" applyFill="1" applyBorder="1" applyAlignment="1">
      <alignment horizontal="center"/>
      <protection/>
    </xf>
    <xf numFmtId="0" fontId="83" fillId="54" borderId="116" xfId="58" applyFont="1" applyFill="1" applyBorder="1" applyAlignment="1">
      <alignment horizontal="center"/>
      <protection/>
    </xf>
    <xf numFmtId="0" fontId="80" fillId="55" borderId="117" xfId="58" applyFont="1" applyFill="1" applyBorder="1" applyAlignment="1">
      <alignment horizontal="center"/>
      <protection/>
    </xf>
    <xf numFmtId="0" fontId="84" fillId="44" borderId="118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54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54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8" applyFont="1" applyFill="1" applyBorder="1" applyAlignment="1">
      <alignment horizontal="center"/>
      <protection/>
    </xf>
    <xf numFmtId="0" fontId="17" fillId="58" borderId="120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191" fontId="1" fillId="33" borderId="0" xfId="0" applyNumberFormat="1" applyFont="1" applyFill="1" applyAlignment="1">
      <alignment/>
    </xf>
    <xf numFmtId="0" fontId="78" fillId="44" borderId="12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12" fontId="8" fillId="35" borderId="123" xfId="0" applyNumberFormat="1" applyFont="1" applyFill="1" applyBorder="1" applyAlignment="1" applyProtection="1">
      <alignment horizontal="center" vertical="center"/>
      <protection locked="0"/>
    </xf>
    <xf numFmtId="212" fontId="0" fillId="0" borderId="124" xfId="0" applyNumberFormat="1" applyBorder="1" applyAlignment="1" applyProtection="1">
      <alignment horizontal="center" vertical="center"/>
      <protection locked="0"/>
    </xf>
    <xf numFmtId="0" fontId="19" fillId="33" borderId="12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26" xfId="0" applyNumberFormat="1" applyFont="1" applyFill="1" applyBorder="1" applyAlignment="1" applyProtection="1">
      <alignment horizontal="right" vertical="center"/>
      <protection/>
    </xf>
    <xf numFmtId="221" fontId="0" fillId="0" borderId="127" xfId="0" applyNumberFormat="1" applyBorder="1" applyAlignment="1">
      <alignment horizontal="right"/>
    </xf>
    <xf numFmtId="222" fontId="34" fillId="35" borderId="127" xfId="0" applyNumberFormat="1" applyFont="1" applyFill="1" applyBorder="1" applyAlignment="1" applyProtection="1">
      <alignment horizontal="left" vertical="center"/>
      <protection/>
    </xf>
    <xf numFmtId="222" fontId="0" fillId="0" borderId="128" xfId="0" applyNumberFormat="1" applyBorder="1" applyAlignment="1">
      <alignment horizontal="left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4" fillId="0" borderId="131" xfId="0" applyFont="1" applyBorder="1" applyAlignment="1">
      <alignment horizontal="left"/>
    </xf>
    <xf numFmtId="0" fontId="4" fillId="38" borderId="131" xfId="0" applyFont="1" applyFill="1" applyBorder="1" applyAlignment="1" applyProtection="1">
      <alignment horizontal="left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2" xfId="0" applyBorder="1" applyAlignment="1">
      <alignment wrapText="1"/>
    </xf>
    <xf numFmtId="0" fontId="0" fillId="0" borderId="133" xfId="0" applyBorder="1" applyAlignment="1">
      <alignment wrapText="1"/>
    </xf>
    <xf numFmtId="0" fontId="12" fillId="35" borderId="122" xfId="0" applyFont="1" applyFill="1" applyBorder="1" applyAlignment="1">
      <alignment horizontal="left" vertical="top"/>
    </xf>
    <xf numFmtId="0" fontId="0" fillId="0" borderId="0" xfId="0" applyAlignment="1">
      <alignment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31" xfId="0" applyFont="1" applyBorder="1" applyAlignment="1">
      <alignment horizontal="left" vertical="center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34" xfId="0" applyFont="1" applyFill="1" applyBorder="1" applyAlignment="1">
      <alignment horizontal="right"/>
    </xf>
    <xf numFmtId="0" fontId="67" fillId="0" borderId="135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36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206" fontId="6" fillId="33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34">
      <selection activeCell="F51" sqref="F51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7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7" customWidth="1"/>
    <col min="32" max="32" width="3.421875" style="367" customWidth="1"/>
    <col min="33" max="33" width="3.28125" style="367" customWidth="1"/>
    <col min="34" max="34" width="3.57421875" style="367" customWidth="1"/>
    <col min="35" max="35" width="3.28125" style="423" customWidth="1"/>
    <col min="36" max="36" width="1.7109375" style="420" customWidth="1"/>
    <col min="37" max="37" width="7.8515625" style="420" customWidth="1"/>
    <col min="38" max="41" width="3.28125" style="420" customWidth="1"/>
    <col min="42" max="42" width="4.28125" style="420" customWidth="1"/>
    <col min="43" max="43" width="4.28125" style="88" customWidth="1"/>
    <col min="44" max="45" width="4.28125" style="421" customWidth="1"/>
    <col min="46" max="46" width="8.8515625" style="0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13" t="s">
        <v>711</v>
      </c>
      <c r="B1" s="513"/>
      <c r="C1" s="3" t="s">
        <v>0</v>
      </c>
      <c r="F1" s="4" t="s">
        <v>588</v>
      </c>
      <c r="G1" s="267">
        <v>4.5</v>
      </c>
      <c r="H1" s="268">
        <f>IF(mashfactor&gt;4.5,0,(5-mashfactor)/2.2)</f>
        <v>0.22727272727272727</v>
      </c>
      <c r="J1" s="6" t="s">
        <v>599</v>
      </c>
      <c r="K1" s="500">
        <v>41666</v>
      </c>
      <c r="L1" s="501"/>
      <c r="M1" s="23"/>
      <c r="S1" s="471"/>
      <c r="T1" s="461" t="s">
        <v>669</v>
      </c>
      <c r="U1" s="462" t="s">
        <v>675</v>
      </c>
      <c r="V1" s="463" t="s">
        <v>676</v>
      </c>
      <c r="W1" s="464" t="s">
        <v>677</v>
      </c>
      <c r="X1" s="465" t="s">
        <v>678</v>
      </c>
      <c r="Y1" s="431"/>
      <c r="Z1" s="455" t="s">
        <v>669</v>
      </c>
      <c r="AA1" s="428"/>
      <c r="AB1" s="7" t="s">
        <v>1</v>
      </c>
      <c r="AC1" s="8" t="str">
        <f>HoofdGist</f>
        <v>3522 Belgian Ardennes</v>
      </c>
      <c r="AD1" s="9"/>
      <c r="AR1" s="427"/>
      <c r="AS1" s="427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13" t="s">
        <v>713</v>
      </c>
      <c r="B2" s="513"/>
      <c r="C2" s="3" t="s">
        <v>3</v>
      </c>
      <c r="D2" s="13"/>
      <c r="F2" s="14" t="s">
        <v>4</v>
      </c>
      <c r="G2" s="15">
        <v>0.8</v>
      </c>
      <c r="I2" s="272"/>
      <c r="J2" s="6" t="s">
        <v>600</v>
      </c>
      <c r="K2" s="500">
        <v>41696</v>
      </c>
      <c r="L2" s="501"/>
      <c r="M2" s="23"/>
      <c r="N2" s="281"/>
      <c r="O2" s="249"/>
      <c r="P2" s="378"/>
      <c r="Q2" s="378"/>
      <c r="R2" s="378"/>
      <c r="S2" s="378"/>
      <c r="T2" s="466">
        <v>0</v>
      </c>
      <c r="U2" s="467">
        <v>255</v>
      </c>
      <c r="V2" s="468">
        <v>255</v>
      </c>
      <c r="W2" s="469">
        <v>255</v>
      </c>
      <c r="X2" s="470">
        <v>0</v>
      </c>
      <c r="Y2" s="432"/>
      <c r="Z2" s="456">
        <f>$F$26</f>
        <v>10.25290306461945</v>
      </c>
      <c r="AA2" s="428"/>
      <c r="AB2" s="520" t="str">
        <f>G3</f>
        <v>Fenolen zorgen voor een zachtfruitigheid en een complexe kruidigheid / Achouffe</v>
      </c>
      <c r="AC2" s="520"/>
      <c r="AR2" s="427"/>
      <c r="AS2" s="427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16.5</v>
      </c>
      <c r="C3" s="17" t="s">
        <v>6</v>
      </c>
      <c r="D3" s="521" t="s">
        <v>542</v>
      </c>
      <c r="E3" s="521"/>
      <c r="F3" s="521"/>
      <c r="G3" s="502" t="str">
        <f>VLOOKUP(HoofdGist,'Info-Tabellen'!$X:$AB,5,0)</f>
        <v>Fenolen zorgen voor een zachtfruitigheid en een complexe kruidigheid / Achouffe</v>
      </c>
      <c r="H3" s="503"/>
      <c r="I3" s="503"/>
      <c r="J3" s="503"/>
      <c r="K3" s="503"/>
      <c r="L3" s="503"/>
      <c r="M3" s="397"/>
      <c r="O3" s="249"/>
      <c r="P3" s="378"/>
      <c r="Q3" s="378"/>
      <c r="R3" s="378"/>
      <c r="S3" s="378"/>
      <c r="T3" s="466">
        <v>1</v>
      </c>
      <c r="U3" s="467">
        <v>247</v>
      </c>
      <c r="V3" s="468">
        <v>249</v>
      </c>
      <c r="W3" s="469">
        <v>180</v>
      </c>
      <c r="X3" s="470">
        <v>45</v>
      </c>
      <c r="Y3" s="432"/>
      <c r="Z3" s="446"/>
      <c r="AA3" s="428"/>
      <c r="AC3" s="2"/>
      <c r="AD3" s="2"/>
      <c r="AR3" s="427"/>
      <c r="AS3" s="427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1" t="s">
        <v>591</v>
      </c>
      <c r="B4" s="355">
        <v>0.5</v>
      </c>
      <c r="E4" s="22"/>
      <c r="F4" s="74" t="s">
        <v>590</v>
      </c>
      <c r="G4" s="24">
        <v>99.5</v>
      </c>
      <c r="J4" s="166" t="s">
        <v>619</v>
      </c>
      <c r="K4" s="270">
        <v>60</v>
      </c>
      <c r="L4" s="361">
        <f>IF(Aardbier="D",-0.5,IF(Aardbier="M",-0.3,IF(Aardbier=1,-0.8,2.5)))</f>
        <v>-0.3</v>
      </c>
      <c r="M4" s="23"/>
      <c r="N4" s="207"/>
      <c r="P4" s="485"/>
      <c r="Q4" s="485"/>
      <c r="R4" s="88">
        <f>0.0000152482628*voorsp_eindplato*voorsp_eindplato+0.0038422807854*voorsp_eindplato+1.0000602058824</f>
        <v>1.0077472966631307</v>
      </c>
      <c r="T4" s="466">
        <v>2</v>
      </c>
      <c r="U4" s="467">
        <v>245</v>
      </c>
      <c r="V4" s="468">
        <v>248</v>
      </c>
      <c r="W4" s="469">
        <v>146</v>
      </c>
      <c r="X4" s="470">
        <v>61</v>
      </c>
      <c r="Y4" s="432"/>
      <c r="Z4" s="452" t="s">
        <v>675</v>
      </c>
      <c r="AA4" s="428"/>
      <c r="AB4" s="7" t="s">
        <v>8</v>
      </c>
      <c r="AC4" s="8" t="str">
        <f>K52</f>
        <v>hoofdgist</v>
      </c>
      <c r="AD4" s="2"/>
      <c r="AR4" s="427"/>
      <c r="AS4" s="427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9" t="s">
        <v>589</v>
      </c>
      <c r="B5" s="25" t="s">
        <v>643</v>
      </c>
      <c r="C5" s="19"/>
      <c r="D5" s="74" t="s">
        <v>592</v>
      </c>
      <c r="E5" s="307" t="s">
        <v>570</v>
      </c>
      <c r="F5" s="22"/>
      <c r="G5" s="19" t="s">
        <v>593</v>
      </c>
      <c r="H5" s="20">
        <v>13.4</v>
      </c>
      <c r="I5" s="358">
        <f>VLOOKUP(HoofdGist,'Info-Tabellen'!$X:$AB,2,0)</f>
        <v>86</v>
      </c>
      <c r="J5" s="359">
        <f>SUM($D$8:$D$18)</f>
        <v>4.1</v>
      </c>
      <c r="K5" s="283">
        <f>IF(Eiwitrust="J",10,0)</f>
        <v>10</v>
      </c>
      <c r="L5" s="360">
        <f>(totplato-VSPrestextract)/(2.0665-0.010665*(totplato))</f>
        <v>5.240970596276601</v>
      </c>
      <c r="M5" s="23"/>
      <c r="R5" s="486" t="s">
        <v>696</v>
      </c>
      <c r="T5" s="466">
        <v>3</v>
      </c>
      <c r="U5" s="467">
        <v>248</v>
      </c>
      <c r="V5" s="468">
        <v>249</v>
      </c>
      <c r="W5" s="469">
        <v>114</v>
      </c>
      <c r="X5" s="470">
        <v>75</v>
      </c>
      <c r="Y5" s="432"/>
      <c r="Z5" s="457">
        <f>LOOKUP($Z$2,$T$2:$T$47,U2:U47)</f>
        <v>224</v>
      </c>
      <c r="AA5" s="428"/>
      <c r="AB5" s="520" t="e">
        <f>VLOOKUP(bottelgist,'Info-Tabellen'!$X:$AB,5,0)</f>
        <v>#N/A</v>
      </c>
      <c r="AC5" s="520"/>
      <c r="AD5" s="2"/>
      <c r="AR5" s="427"/>
      <c r="AS5" s="427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3">
        <v>19</v>
      </c>
      <c r="C6" s="263"/>
      <c r="D6" s="21"/>
      <c r="E6" s="22"/>
      <c r="F6" s="356" t="s">
        <v>654</v>
      </c>
      <c r="G6" s="357">
        <f>IF(mashfactor&lt;3.66,$G$2-((mashfactor)/1000)+0.00666,$G$2-((mashfactor)/20)+0.175)</f>
        <v>0.75</v>
      </c>
      <c r="H6" s="396"/>
      <c r="I6" s="272">
        <f>IF(moutkilos=0,"",IF(Aardbier=1,moutkilos*1.6*($B$30-mouttemp)/(mashwater*4.18),moutkilos*1.6*($B$29-mouttemp)/(mashwater*4.18)))</f>
        <v>2.91876452867165</v>
      </c>
      <c r="K6" s="304" t="s">
        <v>620</v>
      </c>
      <c r="L6" s="264"/>
      <c r="M6" s="265"/>
      <c r="N6" s="72"/>
      <c r="O6" s="280">
        <f>VLOOKUP(HoofdGist,'Info-Tabellen'!$X:$AB,3,0)</f>
        <v>107.5</v>
      </c>
      <c r="P6" s="392" t="s">
        <v>670</v>
      </c>
      <c r="R6" s="207" t="s">
        <v>695</v>
      </c>
      <c r="T6" s="466">
        <v>4</v>
      </c>
      <c r="U6" s="467">
        <v>248</v>
      </c>
      <c r="V6" s="468">
        <v>247</v>
      </c>
      <c r="W6" s="469">
        <v>83</v>
      </c>
      <c r="X6" s="470">
        <v>90</v>
      </c>
      <c r="Y6" s="432"/>
      <c r="Z6" s="445"/>
      <c r="AA6" s="428"/>
      <c r="AB6" s="274"/>
      <c r="AC6" s="275"/>
      <c r="AD6" s="2"/>
      <c r="AR6" s="427"/>
      <c r="AS6" s="427"/>
      <c r="AT6" s="42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669</v>
      </c>
      <c r="G7" s="27" t="s">
        <v>14</v>
      </c>
      <c r="H7" s="27" t="s">
        <v>15</v>
      </c>
      <c r="I7" s="290" t="s">
        <v>595</v>
      </c>
      <c r="J7" s="48">
        <f>SUM($E$8:$E$18)</f>
        <v>14.234563797190264</v>
      </c>
      <c r="K7" s="47">
        <f>IF(ISNUMBER($J$7),(0.0000152482628*J7*J7+0.0038422807854*J7+1.0000602058824)*1000,"")</f>
        <v>1057.8430426516234</v>
      </c>
      <c r="L7" s="306">
        <f>IF(ISNUMBER($J$7),0.0000005*R7*R7*R7-0.00042273*R7*R7+0.28198838*R7-3.97853928,"")</f>
        <v>14.546391206083058</v>
      </c>
      <c r="M7" s="281"/>
      <c r="N7" s="409" t="s">
        <v>601</v>
      </c>
      <c r="O7" s="414" t="s">
        <v>618</v>
      </c>
      <c r="P7" s="88" t="s">
        <v>665</v>
      </c>
      <c r="Q7" s="88" t="s">
        <v>669</v>
      </c>
      <c r="R7" s="484">
        <f>0.0010941210237*J7*J7*J7-0.0084685862875*J7*J7+4.0095424008421*J7+14.4773574022522</f>
        <v>72.99123135505086</v>
      </c>
      <c r="T7" s="466">
        <v>5</v>
      </c>
      <c r="U7" s="467">
        <v>245</v>
      </c>
      <c r="V7" s="468">
        <v>248</v>
      </c>
      <c r="W7" s="469">
        <v>48</v>
      </c>
      <c r="X7" s="470">
        <v>121</v>
      </c>
      <c r="Y7" s="432"/>
      <c r="Z7" s="453" t="s">
        <v>676</v>
      </c>
      <c r="AA7" s="428"/>
      <c r="AD7" s="2"/>
      <c r="AR7" s="427"/>
      <c r="AS7" s="427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117</v>
      </c>
      <c r="B8" s="370">
        <f>VLOOKUP(A8,'Info-Tabellen'!$H:$K,2,0)</f>
        <v>80.07</v>
      </c>
      <c r="C8" s="370">
        <f>VLOOKUP(A8,'Info-Tabellen'!$H:$J,3,0)</f>
        <v>3</v>
      </c>
      <c r="D8" s="31">
        <v>4</v>
      </c>
      <c r="E8" s="32">
        <f>IF(Gewenste_liters=0,"0",IF(D8=0,"  ",(B8*D8/(Gewenste_liters+hopverlies))*effic))</f>
        <v>13.887379314331964</v>
      </c>
      <c r="F8" s="33">
        <f aca="true" t="shared" si="0" ref="F8:F18">IF(Gewenste_liters=0,"0",IF(D8=0,"  ",1.8*(Q8)^0.69))</f>
        <v>5.346754516867188</v>
      </c>
      <c r="G8" s="276">
        <f aca="true" t="shared" si="1" ref="G8:G16">IF(D8="","  ",(D8*100/Totaalkg))</f>
        <v>97.5609756097561</v>
      </c>
      <c r="H8" s="277">
        <f aca="true" t="shared" si="2" ref="H8:H16">IF(E8="  ","  ",(E8*100/totplato))</f>
        <v>97.56097560975608</v>
      </c>
      <c r="I8" s="298">
        <f aca="true" t="shared" si="3" ref="I8:I23">IF(O8=0,"",E8-(E8*O8/100))</f>
        <v>1.9341331917778728</v>
      </c>
      <c r="J8" s="514" t="s">
        <v>621</v>
      </c>
      <c r="K8" s="515"/>
      <c r="L8" s="515"/>
      <c r="M8" s="23"/>
      <c r="N8" s="410">
        <f>IF(D8=0,0,VLOOKUP(A8,'Info-Tabellen'!$H:$K,4,0))</f>
        <v>100</v>
      </c>
      <c r="O8" s="415">
        <f>IF(N8=0,0,(SVGopmout*N8/100)-ATNfactor-Aftrokmaische)</f>
        <v>86.07272727272726</v>
      </c>
      <c r="P8" s="379">
        <f>IF(C8=0,0,C8*0.3748+0.6)</f>
        <v>1.7244000000000002</v>
      </c>
      <c r="Q8" s="379">
        <f>C8*E8/8.6</f>
        <v>4.844434644534406</v>
      </c>
      <c r="S8" s="484"/>
      <c r="T8" s="466">
        <v>6</v>
      </c>
      <c r="U8" s="467">
        <v>245</v>
      </c>
      <c r="V8" s="468">
        <v>244</v>
      </c>
      <c r="W8" s="469">
        <v>18</v>
      </c>
      <c r="X8" s="470">
        <v>137</v>
      </c>
      <c r="Y8" s="432"/>
      <c r="Z8" s="458">
        <f>LOOKUP($Z$2,$T$2:$T$47,V2:V47)</f>
        <v>204</v>
      </c>
      <c r="AA8" s="428"/>
      <c r="AB8" s="2"/>
      <c r="AC8" s="2"/>
      <c r="AD8" s="2"/>
      <c r="AR8" s="427"/>
      <c r="AS8" s="427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461</v>
      </c>
      <c r="B9" s="371">
        <f>VLOOKUP(A9,'Info-Tabellen'!$H:$J,2,0)</f>
        <v>80.07</v>
      </c>
      <c r="C9" s="371">
        <f>VLOOKUP(A9,'Info-Tabellen'!$H:$J,3,0)</f>
        <v>70</v>
      </c>
      <c r="D9" s="36">
        <v>0.1</v>
      </c>
      <c r="E9" s="37">
        <f aca="true" t="shared" si="4" ref="E9:E18">IF(Gewenste_liters=0,"0",IF(D9=0,"  ",(B9*D9/(Gewenste_liters+hopverlies))*effic))</f>
        <v>0.34718448285829906</v>
      </c>
      <c r="F9" s="38">
        <f t="shared" si="0"/>
        <v>3.6861485477522606</v>
      </c>
      <c r="G9" s="278">
        <f t="shared" si="1"/>
        <v>2.439024390243903</v>
      </c>
      <c r="H9" s="63">
        <f t="shared" si="2"/>
        <v>2.4390243902439024</v>
      </c>
      <c r="I9" s="299">
        <f t="shared" si="3"/>
        <v>0.05088777651931237</v>
      </c>
      <c r="J9" s="516"/>
      <c r="K9" s="517"/>
      <c r="L9" s="517"/>
      <c r="M9" s="305"/>
      <c r="N9" s="411">
        <f>IF(D9=0,0,VLOOKUP(A9,'Info-Tabellen'!$H:$K,4,0))</f>
        <v>99.5</v>
      </c>
      <c r="O9" s="416">
        <f aca="true" t="shared" si="5" ref="O9:O18">IF(N9=0,0,(SVGopmout*N9/100)-ATNfactor)</f>
        <v>85.34272727272726</v>
      </c>
      <c r="P9" s="379">
        <f aca="true" t="shared" si="6" ref="P9:P24">IF(C9=0,0,C9*0.3748+0.6)</f>
        <v>26.836000000000002</v>
      </c>
      <c r="Q9" s="379">
        <f aca="true" t="shared" si="7" ref="Q9:Q18">C9*E9/8.6</f>
        <v>2.8259202093117364</v>
      </c>
      <c r="R9" s="379"/>
      <c r="S9" s="379"/>
      <c r="T9" s="466">
        <v>7</v>
      </c>
      <c r="U9" s="467">
        <v>238</v>
      </c>
      <c r="V9" s="468">
        <v>233</v>
      </c>
      <c r="W9" s="469">
        <v>22</v>
      </c>
      <c r="X9" s="470">
        <v>135</v>
      </c>
      <c r="Y9" s="432"/>
      <c r="Z9" s="445"/>
      <c r="AA9" s="428"/>
      <c r="AB9" s="39" t="s">
        <v>17</v>
      </c>
      <c r="AC9" s="40"/>
      <c r="AD9" s="2"/>
      <c r="AR9" s="427"/>
      <c r="AS9" s="427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70">
        <f>VLOOKUP(A10,'Info-Tabellen'!$H:$J,2,0)</f>
        <v>0</v>
      </c>
      <c r="C10" s="370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6" t="str">
        <f t="shared" si="1"/>
        <v>  </v>
      </c>
      <c r="H10" s="277" t="str">
        <f t="shared" si="2"/>
        <v>  </v>
      </c>
      <c r="I10" s="298">
        <f t="shared" si="3"/>
      </c>
      <c r="J10" s="48">
        <f>SUM($E$19:$E$22)</f>
        <v>0</v>
      </c>
      <c r="K10" s="47">
        <f>IF(ISNUMBER($J$7),(0.0000152482628*J10*J10+0.0038422807854*J10+1.0000602058824)*1000,"")</f>
        <v>1000.0602058823999</v>
      </c>
      <c r="L10" s="49">
        <f>IF(ISNUMBER($J$10),$J$10,"")</f>
        <v>0</v>
      </c>
      <c r="M10" s="305"/>
      <c r="N10" s="410">
        <f>IF(D10=0,0,VLOOKUP(A10,'Info-Tabellen'!$H:$K,4,0))</f>
        <v>0</v>
      </c>
      <c r="O10" s="415">
        <f t="shared" si="5"/>
        <v>0</v>
      </c>
      <c r="P10" s="379">
        <f t="shared" si="6"/>
        <v>0</v>
      </c>
      <c r="Q10" s="379" t="e">
        <f t="shared" si="7"/>
        <v>#VALUE!</v>
      </c>
      <c r="R10" s="379"/>
      <c r="S10" s="379"/>
      <c r="T10" s="466">
        <v>8</v>
      </c>
      <c r="U10" s="467">
        <v>230</v>
      </c>
      <c r="V10" s="468">
        <v>225</v>
      </c>
      <c r="W10" s="469">
        <v>24</v>
      </c>
      <c r="X10" s="470">
        <v>160</v>
      </c>
      <c r="Y10" s="432"/>
      <c r="Z10" s="454" t="s">
        <v>677</v>
      </c>
      <c r="AA10" s="428"/>
      <c r="AB10" s="42" t="str">
        <f>hop1</f>
        <v>Centennial (U)</v>
      </c>
      <c r="AC10" s="40"/>
      <c r="AD10" s="2"/>
      <c r="AR10" s="427"/>
      <c r="AS10" s="427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1">
        <f>VLOOKUP(A11,'Info-Tabellen'!$H:$J,2,0)</f>
        <v>0</v>
      </c>
      <c r="C11" s="371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9" t="str">
        <f t="shared" si="1"/>
        <v>  </v>
      </c>
      <c r="H11" s="63" t="str">
        <f t="shared" si="2"/>
        <v>  </v>
      </c>
      <c r="I11" s="299">
        <f t="shared" si="3"/>
      </c>
      <c r="K11" s="45" t="s">
        <v>18</v>
      </c>
      <c r="M11" s="23"/>
      <c r="N11" s="411">
        <f>IF(D11=0,0,VLOOKUP(A11,'Info-Tabellen'!$H:$K,4,0))</f>
        <v>0</v>
      </c>
      <c r="O11" s="416">
        <f t="shared" si="5"/>
        <v>0</v>
      </c>
      <c r="P11" s="379">
        <f t="shared" si="6"/>
        <v>0</v>
      </c>
      <c r="Q11" s="379" t="e">
        <f t="shared" si="7"/>
        <v>#VALUE!</v>
      </c>
      <c r="R11" s="379"/>
      <c r="S11" s="379"/>
      <c r="T11" s="466">
        <v>9</v>
      </c>
      <c r="U11" s="467">
        <v>229</v>
      </c>
      <c r="V11" s="468">
        <v>214</v>
      </c>
      <c r="W11" s="469">
        <v>30</v>
      </c>
      <c r="X11" s="470">
        <v>163</v>
      </c>
      <c r="Y11" s="432"/>
      <c r="Z11" s="459">
        <f>LOOKUP($Z$2,$T$2:$T$47,W2:W47)</f>
        <v>32</v>
      </c>
      <c r="AA11" s="428"/>
      <c r="AB11" s="497" t="str">
        <f>VLOOKUP(hop1,'Info-Tabellen'!$R:$V,3,0)</f>
        <v>Medium intens met bloemige en citrusachtige trekjes</v>
      </c>
      <c r="AC11" s="497"/>
      <c r="AD11" s="2"/>
      <c r="AR11" s="427"/>
      <c r="AS11" s="427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70">
        <f>VLOOKUP(A12,'Info-Tabellen'!$H:$J,2,0)</f>
        <v>0</v>
      </c>
      <c r="C12" s="370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6" t="str">
        <f t="shared" si="1"/>
        <v>  </v>
      </c>
      <c r="H12" s="277" t="str">
        <f t="shared" si="2"/>
        <v>  </v>
      </c>
      <c r="I12" s="298">
        <f t="shared" si="3"/>
      </c>
      <c r="J12" s="48">
        <f>IF(ISNUMBER(totplato),totplato,"")</f>
        <v>14.234563797190264</v>
      </c>
      <c r="K12" s="47">
        <f>IF(ISNUMBER($J$7),(0.0000152482628*J12*J12+0.0038422807854*J12+1.0000602058824)*1000,"")</f>
        <v>1057.8430426516234</v>
      </c>
      <c r="L12" s="49">
        <f>IF(ISNUMBER($J$12),$L$7+$L$10,"")</f>
        <v>14.546391206083058</v>
      </c>
      <c r="M12" s="23"/>
      <c r="N12" s="410">
        <f>IF(D12=0,0,VLOOKUP(A12,'Info-Tabellen'!$H:$K,4,0))</f>
        <v>0</v>
      </c>
      <c r="O12" s="415">
        <f t="shared" si="5"/>
        <v>0</v>
      </c>
      <c r="P12" s="379">
        <f t="shared" si="6"/>
        <v>0</v>
      </c>
      <c r="Q12" s="379" t="e">
        <f t="shared" si="7"/>
        <v>#VALUE!</v>
      </c>
      <c r="R12" s="484"/>
      <c r="S12" s="379"/>
      <c r="T12" s="466">
        <v>10</v>
      </c>
      <c r="U12" s="467">
        <v>224</v>
      </c>
      <c r="V12" s="468">
        <v>204</v>
      </c>
      <c r="W12" s="469">
        <v>32</v>
      </c>
      <c r="X12" s="470">
        <v>165</v>
      </c>
      <c r="Y12" s="432"/>
      <c r="Z12" s="445"/>
      <c r="AA12" s="428"/>
      <c r="AB12" s="497"/>
      <c r="AC12" s="497"/>
      <c r="AD12" s="2"/>
      <c r="AR12" s="427"/>
      <c r="AS12" s="427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1">
        <f>VLOOKUP(A13,'Info-Tabellen'!$H:$J,2,0)</f>
        <v>0</v>
      </c>
      <c r="C13" s="371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9" t="str">
        <f t="shared" si="1"/>
        <v>  </v>
      </c>
      <c r="H13" s="63" t="str">
        <f t="shared" si="2"/>
        <v>  </v>
      </c>
      <c r="I13" s="299">
        <f t="shared" si="3"/>
      </c>
      <c r="K13" s="45" t="s">
        <v>697</v>
      </c>
      <c r="M13" s="23"/>
      <c r="N13" s="411">
        <f>IF(D13=0,0,VLOOKUP(A13,'Info-Tabellen'!$H:$K,4,0))</f>
        <v>0</v>
      </c>
      <c r="O13" s="416">
        <f t="shared" si="5"/>
        <v>0</v>
      </c>
      <c r="P13" s="379">
        <f t="shared" si="6"/>
        <v>0</v>
      </c>
      <c r="Q13" s="379" t="e">
        <f t="shared" si="7"/>
        <v>#VALUE!</v>
      </c>
      <c r="R13" s="379"/>
      <c r="S13" s="379"/>
      <c r="T13" s="466">
        <v>11</v>
      </c>
      <c r="U13" s="467">
        <v>218</v>
      </c>
      <c r="V13" s="468">
        <v>196</v>
      </c>
      <c r="W13" s="469">
        <v>41</v>
      </c>
      <c r="X13" s="470">
        <v>168</v>
      </c>
      <c r="Y13" s="432"/>
      <c r="Z13" s="460" t="s">
        <v>678</v>
      </c>
      <c r="AA13" s="428"/>
      <c r="AB13" s="46"/>
      <c r="AC13" s="40"/>
      <c r="AD13" s="2"/>
      <c r="AR13" s="427"/>
      <c r="AS13" s="427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70">
        <f>VLOOKUP(A14,'Info-Tabellen'!$H:$J,2,0)</f>
        <v>0</v>
      </c>
      <c r="C14" s="370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6" t="str">
        <f t="shared" si="1"/>
        <v>  </v>
      </c>
      <c r="H14" s="277" t="str">
        <f t="shared" si="2"/>
        <v>  </v>
      </c>
      <c r="I14" s="298">
        <f t="shared" si="3"/>
      </c>
      <c r="J14" s="48">
        <f>voorsp_eindplato</f>
        <v>1.985020968297185</v>
      </c>
      <c r="K14" s="47">
        <f>voorsp_eindSG</f>
        <v>1007.7472966631307</v>
      </c>
      <c r="L14" s="49">
        <f>J14*1.03</f>
        <v>2.0445715973461005</v>
      </c>
      <c r="M14" s="23"/>
      <c r="N14" s="410">
        <f>IF(D14=0,0,VLOOKUP(A14,'Info-Tabellen'!$H:$K,4,0))</f>
        <v>0</v>
      </c>
      <c r="O14" s="415">
        <f t="shared" si="5"/>
        <v>0</v>
      </c>
      <c r="P14" s="379">
        <f t="shared" si="6"/>
        <v>0</v>
      </c>
      <c r="Q14" s="379" t="e">
        <f t="shared" si="7"/>
        <v>#VALUE!</v>
      </c>
      <c r="R14" s="379"/>
      <c r="S14" s="379"/>
      <c r="T14" s="466">
        <v>12</v>
      </c>
      <c r="U14" s="467">
        <v>212</v>
      </c>
      <c r="V14" s="468">
        <v>184</v>
      </c>
      <c r="W14" s="469">
        <v>39</v>
      </c>
      <c r="X14" s="470">
        <v>170</v>
      </c>
      <c r="Y14" s="432"/>
      <c r="Z14" s="451">
        <f>LOOKUP($Z$2,$T$2:$T$47,X2:X47)</f>
        <v>165</v>
      </c>
      <c r="AA14" s="428"/>
      <c r="AB14" s="42" t="str">
        <f>hop2</f>
        <v>Centennial (U)</v>
      </c>
      <c r="AC14" s="40"/>
      <c r="AD14" s="2"/>
      <c r="AR14" s="427"/>
      <c r="AS14" s="427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1">
        <f>VLOOKUP(A15,'Info-Tabellen'!$H:$J,2,0)</f>
        <v>0</v>
      </c>
      <c r="C15" s="371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9" t="str">
        <f t="shared" si="1"/>
        <v>  </v>
      </c>
      <c r="H15" s="63" t="str">
        <f t="shared" si="2"/>
        <v>  </v>
      </c>
      <c r="I15" s="299">
        <f t="shared" si="3"/>
      </c>
      <c r="J15" s="435">
        <f>SUM(I8:I18)</f>
        <v>1.985020968297185</v>
      </c>
      <c r="K15" s="434" t="s">
        <v>679</v>
      </c>
      <c r="L15" s="436">
        <f>SUM(I19:I23)</f>
        <v>0</v>
      </c>
      <c r="M15" s="23"/>
      <c r="N15" s="411">
        <f>IF(D15=0,0,VLOOKUP(A15,'Info-Tabellen'!$H:$K,4,0))</f>
        <v>0</v>
      </c>
      <c r="O15" s="416">
        <f t="shared" si="5"/>
        <v>0</v>
      </c>
      <c r="P15" s="379">
        <f t="shared" si="6"/>
        <v>0</v>
      </c>
      <c r="Q15" s="379" t="e">
        <f t="shared" si="7"/>
        <v>#VALUE!</v>
      </c>
      <c r="R15" s="379"/>
      <c r="S15" s="379"/>
      <c r="T15" s="466">
        <v>13</v>
      </c>
      <c r="U15" s="467">
        <v>208</v>
      </c>
      <c r="V15" s="468">
        <v>176</v>
      </c>
      <c r="W15" s="469">
        <v>46</v>
      </c>
      <c r="X15" s="470">
        <v>173</v>
      </c>
      <c r="Y15" s="432"/>
      <c r="Z15" s="446"/>
      <c r="AA15" s="428"/>
      <c r="AB15" s="497" t="str">
        <f>VLOOKUP(hop2,'Info-Tabellen'!$R:$V,3,0)</f>
        <v>Medium intens met bloemige en citrusachtige trekjes</v>
      </c>
      <c r="AC15" s="497"/>
      <c r="AD15" s="2"/>
      <c r="AR15" s="427"/>
      <c r="AS15" s="427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70">
        <f>VLOOKUP(A16,'Info-Tabellen'!$H:$J,2,0)</f>
        <v>0</v>
      </c>
      <c r="C16" s="370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6" t="str">
        <f t="shared" si="1"/>
        <v>  </v>
      </c>
      <c r="H16" s="277" t="str">
        <f t="shared" si="2"/>
        <v>  </v>
      </c>
      <c r="I16" s="310">
        <f t="shared" si="3"/>
      </c>
      <c r="J16" s="518" t="s">
        <v>78</v>
      </c>
      <c r="K16" s="519"/>
      <c r="L16" s="519"/>
      <c r="M16" s="23"/>
      <c r="N16" s="410">
        <f>IF(D16=0,0,VLOOKUP(A16,'Info-Tabellen'!$H:$K,4,0))</f>
        <v>0</v>
      </c>
      <c r="O16" s="415">
        <f t="shared" si="5"/>
        <v>0</v>
      </c>
      <c r="P16" s="379">
        <f t="shared" si="6"/>
        <v>0</v>
      </c>
      <c r="Q16" s="379" t="e">
        <f t="shared" si="7"/>
        <v>#VALUE!</v>
      </c>
      <c r="R16" s="379"/>
      <c r="S16" s="379"/>
      <c r="T16" s="466">
        <v>14</v>
      </c>
      <c r="U16" s="467">
        <v>202</v>
      </c>
      <c r="V16" s="468">
        <v>167</v>
      </c>
      <c r="W16" s="469">
        <v>52</v>
      </c>
      <c r="X16" s="470">
        <v>175</v>
      </c>
      <c r="Y16" s="432"/>
      <c r="Z16" s="476" t="s">
        <v>684</v>
      </c>
      <c r="AA16" s="428"/>
      <c r="AB16" s="497"/>
      <c r="AC16" s="497"/>
      <c r="AD16" s="2"/>
      <c r="AR16" s="427"/>
      <c r="AS16" s="427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1">
        <f>VLOOKUP(A17,'Info-Tabellen'!$H:$J,2,0)</f>
        <v>0</v>
      </c>
      <c r="C17" s="371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9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9">
        <f t="shared" si="3"/>
      </c>
      <c r="J17" s="309">
        <f>totplato/2.7*Gewenste_liters/100</f>
        <v>0.8698900098282938</v>
      </c>
      <c r="K17" s="308" t="s">
        <v>625</v>
      </c>
      <c r="L17" s="206">
        <f>(INT(160*Starter/10))*10</f>
        <v>130</v>
      </c>
      <c r="M17" s="23"/>
      <c r="N17" s="411">
        <f>IF(D17=0,0,VLOOKUP(A17,'Info-Tabellen'!$H:$K,4,0))</f>
        <v>0</v>
      </c>
      <c r="O17" s="416">
        <f t="shared" si="5"/>
        <v>0</v>
      </c>
      <c r="P17" s="379">
        <f t="shared" si="6"/>
        <v>0</v>
      </c>
      <c r="Q17" s="379" t="e">
        <f t="shared" si="7"/>
        <v>#VALUE!</v>
      </c>
      <c r="R17" s="379"/>
      <c r="S17" s="379"/>
      <c r="T17" s="466">
        <v>15</v>
      </c>
      <c r="U17" s="467">
        <v>194</v>
      </c>
      <c r="V17" s="468">
        <v>156</v>
      </c>
      <c r="W17" s="469">
        <v>54</v>
      </c>
      <c r="X17" s="470">
        <v>178</v>
      </c>
      <c r="Y17" s="432"/>
      <c r="Z17" s="477" t="e">
        <f>SetRGB(Z5,Z8,Z11,Z14)</f>
        <v>#VALUE!</v>
      </c>
      <c r="AA17" s="428"/>
      <c r="AB17" s="40"/>
      <c r="AC17" s="40"/>
      <c r="AD17" s="2"/>
      <c r="AR17" s="427"/>
      <c r="AS17" s="427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70">
        <f>VLOOKUP(A18,'Info-Tabellen'!$H:$J,2,0)</f>
        <v>0</v>
      </c>
      <c r="C18" s="370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6" t="str">
        <f t="shared" si="8"/>
        <v>  </v>
      </c>
      <c r="H18" s="277" t="str">
        <f t="shared" si="9"/>
        <v>  </v>
      </c>
      <c r="I18" s="298">
        <f t="shared" si="3"/>
      </c>
      <c r="J18" s="312">
        <f>INT(Starter*totplato/4)</f>
        <v>3</v>
      </c>
      <c r="K18" s="311" t="s">
        <v>87</v>
      </c>
      <c r="L18" s="313"/>
      <c r="M18" s="23"/>
      <c r="N18" s="410">
        <f>IF(D18=0,0,VLOOKUP(A18,'Info-Tabellen'!$H:$K,4,0))</f>
        <v>0</v>
      </c>
      <c r="O18" s="415">
        <f t="shared" si="5"/>
        <v>0</v>
      </c>
      <c r="P18" s="379">
        <f t="shared" si="6"/>
        <v>0</v>
      </c>
      <c r="Q18" s="379" t="e">
        <f t="shared" si="7"/>
        <v>#VALUE!</v>
      </c>
      <c r="R18" s="379"/>
      <c r="S18" s="379"/>
      <c r="T18" s="466">
        <v>16</v>
      </c>
      <c r="U18" s="467">
        <v>190</v>
      </c>
      <c r="V18" s="468">
        <v>147</v>
      </c>
      <c r="W18" s="469">
        <v>57</v>
      </c>
      <c r="X18" s="470">
        <v>180</v>
      </c>
      <c r="Y18" s="432"/>
      <c r="Z18" s="445"/>
      <c r="AA18" s="428"/>
      <c r="AB18" s="42" t="str">
        <f>hop3</f>
        <v>Centennial (U)</v>
      </c>
      <c r="AC18" s="40"/>
      <c r="AD18" s="2"/>
      <c r="AR18" s="427"/>
      <c r="AS18" s="427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19</v>
      </c>
      <c r="B19" s="372">
        <f>VLOOKUP(A19,'Info-Tabellen'!$M:$O,2,0)</f>
        <v>0</v>
      </c>
      <c r="C19" s="372">
        <f>VLOOKUP(A19,'Info-Tabellen'!$M:$O,3,0)</f>
        <v>0</v>
      </c>
      <c r="D19" s="52"/>
      <c r="E19" s="53" t="str">
        <f>IF(Gewenste_liters=0,"0",IF(D19=0,"  ",(B19*D19/(Gewenste_liters+hopverlies))))</f>
        <v>  </v>
      </c>
      <c r="F19" s="54" t="str">
        <f>IF(Gewenste_liters=0,"0",IF(D19=0,"  ",B19*D19/100/Gewenste_liters*C19))</f>
        <v>  </v>
      </c>
      <c r="G19" s="55" t="str">
        <f t="shared" si="8"/>
        <v>  </v>
      </c>
      <c r="H19" s="55" t="str">
        <f t="shared" si="9"/>
        <v>  </v>
      </c>
      <c r="I19" s="300">
        <f t="shared" si="3"/>
      </c>
      <c r="J19" s="314" t="s">
        <v>622</v>
      </c>
      <c r="K19" s="208">
        <f>Starter*1.05</f>
        <v>0.9133845103197085</v>
      </c>
      <c r="L19" s="313" t="s">
        <v>623</v>
      </c>
      <c r="M19" s="23"/>
      <c r="N19" s="412">
        <f>IF(D19=0,0,VLOOKUP(A19,'Info-Tabellen'!$M:$P,4,0))</f>
        <v>0</v>
      </c>
      <c r="O19" s="417">
        <f>IF(N19=0,0,(SVGopsuiker*N19/100))</f>
        <v>0</v>
      </c>
      <c r="P19" s="379">
        <f t="shared" si="6"/>
        <v>0</v>
      </c>
      <c r="Q19" s="379"/>
      <c r="R19" s="379"/>
      <c r="S19" s="379"/>
      <c r="T19" s="466">
        <v>17</v>
      </c>
      <c r="U19" s="467">
        <v>193</v>
      </c>
      <c r="V19" s="468">
        <v>145</v>
      </c>
      <c r="W19" s="469">
        <v>59</v>
      </c>
      <c r="X19" s="470">
        <v>201</v>
      </c>
      <c r="Y19" s="432"/>
      <c r="Z19" s="445"/>
      <c r="AA19" s="428"/>
      <c r="AB19" s="497" t="str">
        <f>VLOOKUP(hop3,'Info-Tabellen'!$R:$V,3,0)</f>
        <v>Medium intens met bloemige en citrusachtige trekjes</v>
      </c>
      <c r="AC19" s="497"/>
      <c r="AD19" s="2"/>
      <c r="AR19" s="427"/>
      <c r="AS19" s="427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19</v>
      </c>
      <c r="B20" s="373">
        <f>VLOOKUP(A20,'Info-Tabellen'!$M:$O,2,0)</f>
        <v>0</v>
      </c>
      <c r="C20" s="373">
        <f>VLOOKUP(A20,'Info-Tabellen'!$M:$O,3,0)</f>
        <v>0</v>
      </c>
      <c r="D20" s="242"/>
      <c r="E20" s="244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1">
        <f t="shared" si="3"/>
      </c>
      <c r="J20" s="498" t="s">
        <v>624</v>
      </c>
      <c r="K20" s="499"/>
      <c r="L20" s="209">
        <f>Gewenste_liters/21*totplato</f>
        <v>11.184300126363778</v>
      </c>
      <c r="M20" s="23"/>
      <c r="N20" s="413">
        <f>IF(D20=0,0,VLOOKUP(A20,'Info-Tabellen'!$M:$P,4,0))</f>
        <v>0</v>
      </c>
      <c r="O20" s="418">
        <f>IF(N20=0,0,(SVGopsuiker*N20/100))</f>
        <v>0</v>
      </c>
      <c r="P20" s="379">
        <f t="shared" si="6"/>
        <v>0</v>
      </c>
      <c r="Q20" s="379"/>
      <c r="R20" s="379"/>
      <c r="S20" s="379"/>
      <c r="T20" s="466">
        <v>18</v>
      </c>
      <c r="U20" s="467">
        <v>192</v>
      </c>
      <c r="V20" s="468">
        <v>140</v>
      </c>
      <c r="W20" s="469">
        <v>61</v>
      </c>
      <c r="X20" s="470">
        <v>202</v>
      </c>
      <c r="Y20" s="432"/>
      <c r="Z20" s="445"/>
      <c r="AA20" s="428"/>
      <c r="AB20" s="497"/>
      <c r="AC20" s="497"/>
      <c r="AD20" s="2"/>
      <c r="AR20" s="427"/>
      <c r="AS20" s="427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19</v>
      </c>
      <c r="B21" s="241">
        <f>VLOOKUP(A21,'Info-Tabellen'!$M:$O,2,0)</f>
        <v>0</v>
      </c>
      <c r="C21" s="241">
        <f>VLOOKUP(A21,'Info-Tabellen'!$M:$O,3,0)</f>
        <v>0</v>
      </c>
      <c r="D21" s="243"/>
      <c r="E21" s="245" t="str">
        <f>IF(Gewenste_liters=0,"0",IF(D21=0,"  ",(B21*D21/(Gewenste_liters+hopverlies))))</f>
        <v>  </v>
      </c>
      <c r="F21" s="241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9">
        <f t="shared" si="3"/>
      </c>
      <c r="K21" s="315" t="s">
        <v>626</v>
      </c>
      <c r="M21" s="23"/>
      <c r="N21" s="411">
        <f>IF(D21=0,0,VLOOKUP(A21,'Info-Tabellen'!$M:$P,4,0))</f>
        <v>0</v>
      </c>
      <c r="O21" s="416">
        <f>IF(N21=0,0,(SVGopsuiker*N21/100))</f>
        <v>0</v>
      </c>
      <c r="P21" s="379">
        <f t="shared" si="6"/>
        <v>0</v>
      </c>
      <c r="Q21" s="379"/>
      <c r="R21" s="379"/>
      <c r="S21" s="379"/>
      <c r="T21" s="466">
        <v>19</v>
      </c>
      <c r="U21" s="467">
        <v>191</v>
      </c>
      <c r="V21" s="468">
        <v>135</v>
      </c>
      <c r="W21" s="469">
        <v>59</v>
      </c>
      <c r="X21" s="470">
        <v>204</v>
      </c>
      <c r="Y21" s="432"/>
      <c r="Z21" s="445"/>
      <c r="AA21" s="428"/>
      <c r="AB21" s="40"/>
      <c r="AC21" s="40"/>
      <c r="AD21" s="2"/>
      <c r="AR21" s="427"/>
      <c r="AS21" s="427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19</v>
      </c>
      <c r="B22" s="373">
        <f>VLOOKUP(A22,'Info-Tabellen'!$M:$O,2,0)</f>
        <v>0</v>
      </c>
      <c r="C22" s="373">
        <f>VLOOKUP(A22,'Info-Tabellen'!$M:$O,3,0)</f>
        <v>0</v>
      </c>
      <c r="D22" s="242"/>
      <c r="E22" s="244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1">
        <f t="shared" si="3"/>
      </c>
      <c r="J22" s="88" t="s">
        <v>25</v>
      </c>
      <c r="K22" s="87">
        <f>($L$27+verlieswater)</f>
        <v>19.819157210906337</v>
      </c>
      <c r="L22" s="87">
        <f>$K$22*1.04</f>
        <v>20.61192349934259</v>
      </c>
      <c r="M22" s="23"/>
      <c r="N22" s="413">
        <f>IF(D22=0,0,VLOOKUP(A22,'Info-Tabellen'!$M:$P,4,0))</f>
        <v>0</v>
      </c>
      <c r="O22" s="418">
        <f>IF(N22=0,0,(SVGopsuiker*N22/100))</f>
        <v>0</v>
      </c>
      <c r="P22" s="379">
        <f t="shared" si="6"/>
        <v>0</v>
      </c>
      <c r="Q22" s="379"/>
      <c r="R22" s="379"/>
      <c r="S22" s="379"/>
      <c r="T22" s="466">
        <v>20</v>
      </c>
      <c r="U22" s="467">
        <v>191</v>
      </c>
      <c r="V22" s="468">
        <v>130</v>
      </c>
      <c r="W22" s="469">
        <v>58</v>
      </c>
      <c r="X22" s="470">
        <v>205</v>
      </c>
      <c r="Y22" s="432"/>
      <c r="Z22" s="445"/>
      <c r="AA22" s="428"/>
      <c r="AB22" s="42" t="str">
        <f>hop4</f>
        <v> - - Kies hop - -</v>
      </c>
      <c r="AC22" s="40"/>
      <c r="AD22" s="2"/>
      <c r="AR22" s="427"/>
      <c r="AS22" s="427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19</v>
      </c>
      <c r="B23" s="241">
        <f>VLOOKUP(A23,'Info-Tabellen'!$M:$O,2,0)</f>
        <v>0</v>
      </c>
      <c r="C23" s="241">
        <f>VLOOKUP(A23,'Info-Tabellen'!$M:$O,3,0)</f>
        <v>0</v>
      </c>
      <c r="D23" s="246"/>
      <c r="E23" s="291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2">
        <f t="shared" si="3"/>
      </c>
      <c r="K23" s="315" t="s">
        <v>627</v>
      </c>
      <c r="M23" s="23"/>
      <c r="N23" s="411">
        <f>IF(D23=0,0,VLOOKUP(A23,'Info-Tabellen'!$M:$P,4,0))</f>
        <v>0</v>
      </c>
      <c r="O23" s="416">
        <f>IF(N23=0,0,(SVGopsuiker*N23/100))</f>
        <v>0</v>
      </c>
      <c r="P23" s="379">
        <f t="shared" si="6"/>
        <v>0</v>
      </c>
      <c r="Q23" s="379"/>
      <c r="R23" s="379"/>
      <c r="S23" s="379"/>
      <c r="T23" s="466">
        <v>21</v>
      </c>
      <c r="U23" s="467">
        <v>191</v>
      </c>
      <c r="V23" s="468">
        <v>127</v>
      </c>
      <c r="W23" s="469">
        <v>56</v>
      </c>
      <c r="X23" s="470">
        <v>206</v>
      </c>
      <c r="Y23" s="432"/>
      <c r="Z23" s="445"/>
      <c r="AA23" s="428"/>
      <c r="AB23" s="497">
        <f>VLOOKUP(hop4,'Info-Tabellen'!$R:$V,3,0)</f>
        <v>0</v>
      </c>
      <c r="AC23" s="497"/>
      <c r="AD23" s="2"/>
      <c r="AR23" s="427"/>
      <c r="AS23" s="427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9" t="s">
        <v>652</v>
      </c>
      <c r="B24" s="374">
        <v>100</v>
      </c>
      <c r="C24" s="66">
        <v>9000</v>
      </c>
      <c r="D24" s="348"/>
      <c r="E24" s="262" t="s">
        <v>582</v>
      </c>
      <c r="F24" s="67" t="str">
        <f>IF(Gewenste_liters=0,"0",IF(D24=0,"  ",D24/Gewenste_liters*C24/1000))</f>
        <v>  </v>
      </c>
      <c r="G24" s="385" t="str">
        <f>IF(D24="","  ",(D24*0.1/Totaalkg))</f>
        <v>  </v>
      </c>
      <c r="H24" s="68"/>
      <c r="I24" s="303"/>
      <c r="J24" s="317">
        <f>0.1808*totplato+0.8192*voorsp_eindplato</f>
        <v>4.199738311761053</v>
      </c>
      <c r="K24" s="318">
        <f>IF($L$10=0,1.035,$L$12/$J$12)</f>
        <v>1.035</v>
      </c>
      <c r="L24" s="386">
        <f>IF((Gewenste_liters+(1.7*moutkilos)*1.2)&lt;mashwater,mashwater+verkookwater,($K$22*1.18)+(moutkilos*0.75))</f>
        <v>26.461605508869475</v>
      </c>
      <c r="M24" s="23"/>
      <c r="N24" s="413">
        <v>0</v>
      </c>
      <c r="O24" s="418">
        <v>0</v>
      </c>
      <c r="P24" s="379">
        <f t="shared" si="6"/>
        <v>3373.8</v>
      </c>
      <c r="Q24" s="379"/>
      <c r="R24" s="379"/>
      <c r="S24" s="379"/>
      <c r="T24" s="466">
        <v>22</v>
      </c>
      <c r="U24" s="467">
        <v>193</v>
      </c>
      <c r="V24" s="468">
        <v>120</v>
      </c>
      <c r="W24" s="469">
        <v>56</v>
      </c>
      <c r="X24" s="470">
        <v>208</v>
      </c>
      <c r="Y24" s="432"/>
      <c r="Z24" s="445"/>
      <c r="AA24" s="428"/>
      <c r="AB24" s="497"/>
      <c r="AC24" s="497"/>
      <c r="AD24" s="2"/>
      <c r="AR24" s="427"/>
      <c r="AS24" s="427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671</v>
      </c>
      <c r="B25" s="5"/>
      <c r="C25" s="69" t="s">
        <v>21</v>
      </c>
      <c r="D25" s="70">
        <f>SUM(D8:D23)</f>
        <v>4.1</v>
      </c>
      <c r="E25" s="71">
        <f>SUM(E8:E24)</f>
        <v>14.234563797190264</v>
      </c>
      <c r="F25" s="444">
        <f>SUM(F8:F24)</f>
        <v>9.032903064619449</v>
      </c>
      <c r="G25" s="393" t="s">
        <v>666</v>
      </c>
      <c r="H25" s="282"/>
      <c r="I25" s="345">
        <f>SUM(I8:I23)</f>
        <v>1.985020968297185</v>
      </c>
      <c r="J25" s="488" t="s">
        <v>699</v>
      </c>
      <c r="K25" s="388"/>
      <c r="L25" s="389"/>
      <c r="M25" s="23"/>
      <c r="N25" s="293"/>
      <c r="O25" s="293"/>
      <c r="P25" s="383"/>
      <c r="Q25" s="383"/>
      <c r="R25" s="383"/>
      <c r="S25" s="383"/>
      <c r="T25" s="466">
        <v>23</v>
      </c>
      <c r="U25" s="467">
        <v>190</v>
      </c>
      <c r="V25" s="468">
        <v>116</v>
      </c>
      <c r="W25" s="469">
        <v>57</v>
      </c>
      <c r="X25" s="470">
        <v>209</v>
      </c>
      <c r="Y25" s="432"/>
      <c r="Z25" s="445"/>
      <c r="AA25" s="428"/>
      <c r="AB25" s="40"/>
      <c r="AC25" s="40"/>
      <c r="AD25" s="2"/>
      <c r="AR25" s="427"/>
      <c r="AS25" s="427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2" customHeight="1">
      <c r="A26" s="177" t="s">
        <v>708</v>
      </c>
      <c r="B26" s="494">
        <f>mashwater+E33</f>
        <v>26.461605508869475</v>
      </c>
      <c r="D26" s="489" t="s">
        <v>700</v>
      </c>
      <c r="E26" s="395">
        <f>StamwortSG</f>
        <v>1057.8430426516234</v>
      </c>
      <c r="F26" s="444">
        <f>IF(kleur=0,0,IF(kleur&lt;2,kleur,kleur+(1.22*Kooktijd/60)))</f>
        <v>10.25290306461945</v>
      </c>
      <c r="G26" s="394" t="s">
        <v>667</v>
      </c>
      <c r="H26" s="384"/>
      <c r="I26" s="346">
        <f>IF(voorsp_eindplato=0,1000,(0.0000152482628*voorsp_eindplato*voorsp_eindplato+0.0038422807854*voorsp_eindplato+1.0000602058824)*1000)</f>
        <v>1007.7472966631307</v>
      </c>
      <c r="J26" s="488" t="s">
        <v>698</v>
      </c>
      <c r="K26" s="388"/>
      <c r="L26" s="389"/>
      <c r="M26" s="23"/>
      <c r="N26" s="292"/>
      <c r="O26" s="292"/>
      <c r="P26" s="383"/>
      <c r="Q26" s="383"/>
      <c r="R26" s="383"/>
      <c r="S26" s="383"/>
      <c r="T26" s="466">
        <v>24</v>
      </c>
      <c r="U26" s="467">
        <v>188</v>
      </c>
      <c r="V26" s="468">
        <v>112</v>
      </c>
      <c r="W26" s="469">
        <v>57</v>
      </c>
      <c r="X26" s="470">
        <v>225</v>
      </c>
      <c r="Y26" s="432"/>
      <c r="Z26" s="445"/>
      <c r="AA26" s="428"/>
      <c r="AB26" s="42" t="str">
        <f>hop5</f>
        <v> - - Kies hop - -</v>
      </c>
      <c r="AC26" s="40"/>
      <c r="AD26" s="2"/>
      <c r="AR26" s="427"/>
      <c r="AS26" s="427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4" t="s">
        <v>20</v>
      </c>
      <c r="G27" s="181" t="s">
        <v>701</v>
      </c>
      <c r="H27" s="343">
        <f>IF((totplato-VSPrestextract)/(2.0665-0.010665*totplato)=0,0,voorsp_eindSG/1000*VSPalcogewicht/0.794/100)</f>
        <v>0.06651856360565114</v>
      </c>
      <c r="I27" s="347" t="s">
        <v>628</v>
      </c>
      <c r="J27" s="329"/>
      <c r="K27" s="134" t="s">
        <v>633</v>
      </c>
      <c r="L27" s="387">
        <f>Gewenste_liters*(1+VSPalcvol/4)</f>
        <v>16.774389074873312</v>
      </c>
      <c r="M27" s="23"/>
      <c r="P27" s="375"/>
      <c r="Q27" s="375"/>
      <c r="R27" s="375"/>
      <c r="S27" s="375"/>
      <c r="T27" s="466">
        <v>25</v>
      </c>
      <c r="U27" s="467">
        <v>186</v>
      </c>
      <c r="V27" s="468">
        <v>106</v>
      </c>
      <c r="W27" s="469">
        <v>50</v>
      </c>
      <c r="X27" s="470">
        <v>225</v>
      </c>
      <c r="Y27" s="432"/>
      <c r="Z27" s="445"/>
      <c r="AA27" s="428"/>
      <c r="AB27" s="497">
        <f>VLOOKUP(hop5,'Info-Tabellen'!$R:$V,3,0)</f>
        <v>0</v>
      </c>
      <c r="AC27" s="497"/>
      <c r="AD27" s="2"/>
      <c r="AR27" s="427"/>
      <c r="AS27" s="427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22</v>
      </c>
      <c r="B28" s="76">
        <f>moutkilos*mashfactor*1.02</f>
        <v>18.819</v>
      </c>
      <c r="C28" s="77" t="s">
        <v>23</v>
      </c>
      <c r="D28" s="334">
        <f>IF(moutkilos=0,55,IF(Aardbier=1,($B$30+tempverlies)*ketelinvloed/100,($B$29+tempverlies)*ketelinvloed/100))</f>
        <v>56.63417070602829</v>
      </c>
      <c r="E28" s="495" t="s">
        <v>681</v>
      </c>
      <c r="F28" s="496"/>
      <c r="G28" s="438"/>
      <c r="H28" s="23"/>
      <c r="I28" s="399" t="s">
        <v>680</v>
      </c>
      <c r="J28" s="61" t="s">
        <v>634</v>
      </c>
      <c r="M28" s="23"/>
      <c r="T28" s="466">
        <v>26</v>
      </c>
      <c r="U28" s="467">
        <v>186</v>
      </c>
      <c r="V28" s="468">
        <v>101</v>
      </c>
      <c r="W28" s="469">
        <v>51</v>
      </c>
      <c r="X28" s="470">
        <v>226</v>
      </c>
      <c r="Y28" s="432"/>
      <c r="Z28" s="445"/>
      <c r="AA28" s="428"/>
      <c r="AB28" s="497"/>
      <c r="AC28" s="497"/>
      <c r="AD28" s="2"/>
      <c r="AR28" s="427"/>
      <c r="AS28" s="427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1e fase, Eiwitrust</v>
      </c>
      <c r="B29" s="79">
        <f>IF(Aardbier=1,"      er is",IF(Eiwitrust="J",54,$B$30))</f>
        <v>54</v>
      </c>
      <c r="C29" s="80" t="str">
        <f>IF(Aardbier=1,"dus geen ",IF(Eiwitrust="J","± 2° C",""))</f>
        <v>± 2° C</v>
      </c>
      <c r="D29" s="81">
        <f>IF(Aardbier=1,"eiwitrust   ",IF(Eiwitrust="J",K5,""))</f>
        <v>10</v>
      </c>
      <c r="E29" s="439"/>
      <c r="F29" s="440"/>
      <c r="G29" s="531"/>
      <c r="H29" s="532"/>
      <c r="I29" s="533"/>
      <c r="L29" s="145" t="s">
        <v>683</v>
      </c>
      <c r="M29" s="23"/>
      <c r="N29" s="294"/>
      <c r="O29" s="294"/>
      <c r="P29" s="380"/>
      <c r="Q29" s="380"/>
      <c r="R29" s="380"/>
      <c r="S29" s="380"/>
      <c r="T29" s="466">
        <v>27</v>
      </c>
      <c r="U29" s="467">
        <v>181</v>
      </c>
      <c r="V29" s="468">
        <v>100</v>
      </c>
      <c r="W29" s="469">
        <v>53</v>
      </c>
      <c r="X29" s="470">
        <v>227</v>
      </c>
      <c r="Y29" s="432"/>
      <c r="Z29" s="445"/>
      <c r="AA29" s="428"/>
      <c r="AB29" s="40"/>
      <c r="AC29" s="40"/>
      <c r="AD29" s="2"/>
      <c r="AR29" s="427"/>
      <c r="AS29" s="427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f>IF(Aardbier=1,90,IF(Aardbier="Z",25-($K$5/2),45-($K$5/2)))</f>
        <v>40</v>
      </c>
      <c r="E30" s="441"/>
      <c r="F30" s="442"/>
      <c r="G30" s="534"/>
      <c r="H30" s="532"/>
      <c r="I30" s="533"/>
      <c r="J30" s="332" t="s">
        <v>635</v>
      </c>
      <c r="K30" s="134"/>
      <c r="L30" s="250">
        <f>IF(moutkilos=0,"",moutkilos+mashwater)</f>
        <v>22.918999999999997</v>
      </c>
      <c r="M30" s="23"/>
      <c r="N30" s="295"/>
      <c r="O30" s="295"/>
      <c r="P30" s="381"/>
      <c r="Q30" s="381"/>
      <c r="R30" s="381"/>
      <c r="S30" s="381"/>
      <c r="T30" s="466">
        <v>28</v>
      </c>
      <c r="U30" s="467">
        <v>177</v>
      </c>
      <c r="V30" s="468">
        <v>96</v>
      </c>
      <c r="W30" s="469">
        <v>55</v>
      </c>
      <c r="X30" s="470">
        <v>227</v>
      </c>
      <c r="Y30" s="432"/>
      <c r="Z30" s="445"/>
      <c r="AA30" s="428"/>
      <c r="AB30" s="42" t="str">
        <f>hop6</f>
        <v> - - Kies hop - -</v>
      </c>
      <c r="AC30" s="40"/>
      <c r="AD30" s="2"/>
      <c r="AR30" s="427"/>
      <c r="AS30" s="427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1"/>
      <c r="F31" s="442"/>
      <c r="G31" s="535"/>
      <c r="H31" s="532"/>
      <c r="I31" s="533"/>
      <c r="J31" s="330" t="s">
        <v>650</v>
      </c>
      <c r="M31" s="23"/>
      <c r="N31" s="296"/>
      <c r="O31" s="296"/>
      <c r="P31" s="296"/>
      <c r="Q31" s="296"/>
      <c r="R31" s="296"/>
      <c r="S31" s="296"/>
      <c r="T31" s="466">
        <v>29</v>
      </c>
      <c r="U31" s="467">
        <v>168</v>
      </c>
      <c r="V31" s="468">
        <v>92</v>
      </c>
      <c r="W31" s="469">
        <v>55</v>
      </c>
      <c r="X31" s="470">
        <v>227</v>
      </c>
      <c r="Y31" s="432"/>
      <c r="Z31" s="445"/>
      <c r="AA31" s="428"/>
      <c r="AB31" s="497">
        <f>VLOOKUP(hop6,'Info-Tabellen'!$R:$V,3,0)</f>
        <v>0</v>
      </c>
      <c r="AC31" s="497"/>
      <c r="AD31" s="2"/>
      <c r="AR31" s="427"/>
      <c r="AS31" s="427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3">
        <f>IF(Aardbier=1,"",IF(Aardbier="Z",30,20))</f>
        <v>20</v>
      </c>
      <c r="G32" s="536"/>
      <c r="H32" s="532"/>
      <c r="I32" s="533"/>
      <c r="J32" s="331" t="s">
        <v>636</v>
      </c>
      <c r="K32" s="97"/>
      <c r="L32" s="145" t="s">
        <v>651</v>
      </c>
      <c r="M32" s="333"/>
      <c r="T32" s="466">
        <v>30</v>
      </c>
      <c r="U32" s="467">
        <v>165</v>
      </c>
      <c r="V32" s="468">
        <v>88</v>
      </c>
      <c r="W32" s="469">
        <v>54</v>
      </c>
      <c r="X32" s="470">
        <v>228</v>
      </c>
      <c r="Y32" s="432"/>
      <c r="Z32" s="445"/>
      <c r="AA32" s="428"/>
      <c r="AB32" s="497"/>
      <c r="AC32" s="497"/>
      <c r="AD32" s="2"/>
      <c r="AR32" s="427"/>
      <c r="AS32" s="427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26</v>
      </c>
      <c r="B33" s="92" t="s">
        <v>27</v>
      </c>
      <c r="D33" s="93" t="s">
        <v>28</v>
      </c>
      <c r="E33" s="94">
        <f>IF(mashplato&lt;SUM(E19:E23),Vast_verlies,IF(mashplato=0,0,totaalvolume-mashwater))</f>
        <v>7.642605508869476</v>
      </c>
      <c r="F33" s="95" t="s">
        <v>29</v>
      </c>
      <c r="G33" s="419" t="s">
        <v>609</v>
      </c>
      <c r="H33" s="96"/>
      <c r="I33" s="96"/>
      <c r="L33" s="98">
        <f>$L$22/6.5</f>
        <v>3.171065153745014</v>
      </c>
      <c r="M33" s="23"/>
      <c r="N33" s="281"/>
      <c r="O33" s="249"/>
      <c r="P33" s="378"/>
      <c r="Q33" s="378"/>
      <c r="R33" s="378"/>
      <c r="S33" s="378"/>
      <c r="T33" s="466">
        <v>31</v>
      </c>
      <c r="U33" s="467">
        <v>158</v>
      </c>
      <c r="V33" s="468">
        <v>87</v>
      </c>
      <c r="W33" s="469">
        <v>57</v>
      </c>
      <c r="X33" s="470">
        <v>229</v>
      </c>
      <c r="Y33" s="432"/>
      <c r="Z33" s="445"/>
      <c r="AA33" s="428"/>
      <c r="AB33" s="12" t="s">
        <v>576</v>
      </c>
      <c r="AC33" s="2"/>
      <c r="AD33" s="2"/>
      <c r="AR33" s="427"/>
      <c r="AS33" s="427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30</v>
      </c>
      <c r="B34" s="100">
        <f>259/(259.12955-C34)*1000</f>
        <v>1013.1591245437666</v>
      </c>
      <c r="C34" s="101">
        <f>IF(mashplato&lt;13.4,3,mashplato*mashplato/58)</f>
        <v>3.4934966637289606</v>
      </c>
      <c r="D34" s="102">
        <f>C34*1.035</f>
        <v>3.615769046959474</v>
      </c>
      <c r="F34" s="12"/>
      <c r="G34" s="538" t="s">
        <v>641</v>
      </c>
      <c r="H34" s="539"/>
      <c r="I34" s="540"/>
      <c r="J34" s="103" t="s">
        <v>31</v>
      </c>
      <c r="K34" s="103" t="s">
        <v>32</v>
      </c>
      <c r="L34" s="104" t="s">
        <v>33</v>
      </c>
      <c r="M34" s="23"/>
      <c r="O34" s="23"/>
      <c r="P34" s="315"/>
      <c r="Q34" s="315"/>
      <c r="R34" s="315"/>
      <c r="S34" s="315"/>
      <c r="T34" s="466">
        <v>32</v>
      </c>
      <c r="U34" s="467">
        <v>149</v>
      </c>
      <c r="V34" s="468">
        <v>85</v>
      </c>
      <c r="W34" s="469">
        <v>56</v>
      </c>
      <c r="X34" s="470">
        <v>234</v>
      </c>
      <c r="Y34" s="432"/>
      <c r="Z34" s="445"/>
      <c r="AA34" s="428"/>
      <c r="AB34" s="522" t="s">
        <v>34</v>
      </c>
      <c r="AC34" s="522"/>
      <c r="AD34" s="2"/>
      <c r="AR34" s="427"/>
      <c r="AS34" s="427"/>
      <c r="AT34" s="2"/>
    </row>
    <row r="35" spans="1:46" ht="12" customHeight="1">
      <c r="A35" s="106" t="s">
        <v>35</v>
      </c>
      <c r="B35" s="103" t="s">
        <v>36</v>
      </c>
      <c r="C35" s="107" t="s">
        <v>37</v>
      </c>
      <c r="D35" s="108" t="s">
        <v>38</v>
      </c>
      <c r="E35" s="107" t="s">
        <v>39</v>
      </c>
      <c r="F35" s="109" t="s">
        <v>40</v>
      </c>
      <c r="G35" s="508" t="s">
        <v>41</v>
      </c>
      <c r="H35" s="509"/>
      <c r="I35" s="510"/>
      <c r="J35" s="110"/>
      <c r="K35" s="111" t="str">
        <f>VLOOKUP(G35,'Info-Tabellen'!$AD:$AF,2,0)</f>
        <v>-</v>
      </c>
      <c r="L35" s="112"/>
      <c r="M35" s="23"/>
      <c r="O35" s="145" t="s">
        <v>644</v>
      </c>
      <c r="T35" s="466">
        <v>33</v>
      </c>
      <c r="U35" s="467">
        <v>142</v>
      </c>
      <c r="V35" s="468">
        <v>80</v>
      </c>
      <c r="W35" s="469">
        <v>52</v>
      </c>
      <c r="X35" s="470">
        <v>234</v>
      </c>
      <c r="Y35" s="433"/>
      <c r="Z35" s="445"/>
      <c r="AA35" s="428"/>
      <c r="AB35" s="511" t="str">
        <f>VLOOKUP(G35,'Info-Tabellen'!$AD:$AF,3,0)</f>
        <v>-</v>
      </c>
      <c r="AC35" s="511"/>
      <c r="AD35" s="2"/>
      <c r="AR35" s="427"/>
      <c r="AS35" s="427"/>
      <c r="AT35" s="2"/>
    </row>
    <row r="36" spans="1:46" ht="12" customHeight="1">
      <c r="A36" s="113" t="s">
        <v>173</v>
      </c>
      <c r="B36" s="114" t="s">
        <v>43</v>
      </c>
      <c r="C36" s="115">
        <f>Gewenste_liters</f>
        <v>16.5</v>
      </c>
      <c r="D36" s="362">
        <f>VLOOKUP(hop1,'Info-Tabellen'!$R:$T,2,0)</f>
        <v>9.4</v>
      </c>
      <c r="E36" s="353" t="s">
        <v>710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17.7825913792183</v>
      </c>
      <c r="G36" s="508" t="s">
        <v>41</v>
      </c>
      <c r="H36" s="509"/>
      <c r="I36" s="510"/>
      <c r="J36" s="116"/>
      <c r="K36" s="119" t="str">
        <f>VLOOKUP(G36,'Info-Tabellen'!$AD:$AF,2,0)</f>
        <v>-</v>
      </c>
      <c r="L36" s="120"/>
      <c r="M36" s="23"/>
      <c r="N36" s="399"/>
      <c r="O36" s="479">
        <f aca="true" t="shared" si="11" ref="O36:O41">IF(B36="BLM",C36*0.006,C36*0.00267)</f>
        <v>0.099</v>
      </c>
      <c r="T36" s="466">
        <v>34</v>
      </c>
      <c r="U36" s="467">
        <v>135</v>
      </c>
      <c r="V36" s="468">
        <v>75</v>
      </c>
      <c r="W36" s="469">
        <v>48</v>
      </c>
      <c r="X36" s="470">
        <v>236</v>
      </c>
      <c r="Y36" s="432"/>
      <c r="Z36" s="445"/>
      <c r="AA36" s="428"/>
      <c r="AB36" s="512" t="str">
        <f>VLOOKUP(G36,'Info-Tabellen'!$AD:$AF,3,0)</f>
        <v>-</v>
      </c>
      <c r="AC36" s="512"/>
      <c r="AD36" s="2"/>
      <c r="AR36" s="427"/>
      <c r="AS36" s="427"/>
      <c r="AT36" s="2"/>
    </row>
    <row r="37" spans="1:46" ht="12" customHeight="1">
      <c r="A37" s="121" t="s">
        <v>173</v>
      </c>
      <c r="B37" s="122" t="s">
        <v>43</v>
      </c>
      <c r="C37" s="123">
        <f>Gewenste_liters</f>
        <v>16.5</v>
      </c>
      <c r="D37" s="363">
        <f>VLOOKUP(hop2,'Info-Tabellen'!$R:$T,2,0)</f>
        <v>9.4</v>
      </c>
      <c r="E37" s="124">
        <f>Kooktijd-22</f>
        <v>38</v>
      </c>
      <c r="F37" s="125">
        <f t="shared" si="10"/>
        <v>12.596056422382244</v>
      </c>
      <c r="G37" s="508" t="s">
        <v>41</v>
      </c>
      <c r="H37" s="509"/>
      <c r="I37" s="510"/>
      <c r="J37" s="110"/>
      <c r="K37" s="111" t="str">
        <f>VLOOKUP(G37,'Info-Tabellen'!$AD:$AF,2,0)</f>
        <v>-</v>
      </c>
      <c r="L37" s="112"/>
      <c r="M37" s="23"/>
      <c r="N37" s="399"/>
      <c r="O37" s="479">
        <f t="shared" si="11"/>
        <v>0.099</v>
      </c>
      <c r="T37" s="466">
        <v>35</v>
      </c>
      <c r="U37" s="467">
        <v>130</v>
      </c>
      <c r="V37" s="468">
        <v>72</v>
      </c>
      <c r="W37" s="469">
        <v>46</v>
      </c>
      <c r="X37" s="470">
        <v>237</v>
      </c>
      <c r="Y37" s="432"/>
      <c r="Z37" s="445"/>
      <c r="AA37" s="428"/>
      <c r="AB37" s="511" t="str">
        <f>VLOOKUP(G37,'Info-Tabellen'!$AD:$AF,3,0)</f>
        <v>-</v>
      </c>
      <c r="AC37" s="511"/>
      <c r="AD37" s="2"/>
      <c r="AR37" s="427"/>
      <c r="AS37" s="427"/>
      <c r="AT37" s="2"/>
    </row>
    <row r="38" spans="1:52" ht="12" customHeight="1">
      <c r="A38" s="113" t="s">
        <v>173</v>
      </c>
      <c r="B38" s="114" t="s">
        <v>43</v>
      </c>
      <c r="C38" s="115">
        <f>Gewenste_liters</f>
        <v>16.5</v>
      </c>
      <c r="D38" s="362">
        <f>VLOOKUP(hop3,'Info-Tabellen'!$R:$T,2,0)</f>
        <v>9.4</v>
      </c>
      <c r="E38" s="117">
        <f>Kooktijd-0</f>
        <v>60</v>
      </c>
      <c r="F38" s="118">
        <f t="shared" si="10"/>
        <v>0</v>
      </c>
      <c r="G38" s="508" t="s">
        <v>41</v>
      </c>
      <c r="H38" s="509"/>
      <c r="I38" s="510"/>
      <c r="J38" s="116"/>
      <c r="K38" s="119" t="str">
        <f>VLOOKUP(G38,'Info-Tabellen'!$AD:$AF,2,0)</f>
        <v>-</v>
      </c>
      <c r="L38" s="120"/>
      <c r="M38" s="23"/>
      <c r="N38" s="399"/>
      <c r="O38" s="479">
        <f t="shared" si="11"/>
        <v>0.099</v>
      </c>
      <c r="T38" s="466">
        <v>36</v>
      </c>
      <c r="U38" s="467">
        <v>119</v>
      </c>
      <c r="V38" s="468">
        <v>70</v>
      </c>
      <c r="W38" s="469">
        <v>38</v>
      </c>
      <c r="X38" s="470">
        <v>237</v>
      </c>
      <c r="Y38" s="432"/>
      <c r="Z38" s="445"/>
      <c r="AA38" s="428"/>
      <c r="AB38" s="512" t="str">
        <f>VLOOKUP(G38,'Info-Tabellen'!$AD:$AF,3,0)</f>
        <v>-</v>
      </c>
      <c r="AC38" s="512"/>
      <c r="AD38" s="2"/>
      <c r="AR38" s="427"/>
      <c r="AS38" s="427"/>
      <c r="AT38" s="2"/>
      <c r="AV38" s="126"/>
      <c r="AW38" s="126"/>
      <c r="AX38" s="126"/>
      <c r="AY38" s="126"/>
      <c r="AZ38" s="126"/>
    </row>
    <row r="39" spans="1:52" ht="12" customHeight="1">
      <c r="A39" s="121" t="s">
        <v>42</v>
      </c>
      <c r="B39" s="122" t="s">
        <v>673</v>
      </c>
      <c r="C39" s="127"/>
      <c r="D39" s="363">
        <f>VLOOKUP(hop4,'Info-Tabellen'!$R:$T,2,0)</f>
        <v>0</v>
      </c>
      <c r="E39" s="128"/>
      <c r="F39" s="125">
        <f t="shared" si="10"/>
      </c>
      <c r="G39" s="508" t="s">
        <v>41</v>
      </c>
      <c r="H39" s="509"/>
      <c r="I39" s="510"/>
      <c r="J39" s="110"/>
      <c r="K39" s="111" t="str">
        <f>VLOOKUP(G39,'Info-Tabellen'!$AD:$AF,2,0)</f>
        <v>-</v>
      </c>
      <c r="L39" s="112"/>
      <c r="M39" s="23"/>
      <c r="N39" s="399"/>
      <c r="O39" s="479">
        <f t="shared" si="11"/>
        <v>0</v>
      </c>
      <c r="T39" s="466">
        <v>37</v>
      </c>
      <c r="U39" s="467">
        <v>111</v>
      </c>
      <c r="V39" s="468">
        <v>67</v>
      </c>
      <c r="W39" s="469">
        <v>36</v>
      </c>
      <c r="X39" s="470">
        <v>238</v>
      </c>
      <c r="Y39" s="432"/>
      <c r="Z39" s="445"/>
      <c r="AA39" s="428"/>
      <c r="AB39" s="511" t="str">
        <f>VLOOKUP(G39,'Info-Tabellen'!$AD:$AF,3,0)</f>
        <v>-</v>
      </c>
      <c r="AC39" s="511"/>
      <c r="AD39" s="2"/>
      <c r="AR39" s="427"/>
      <c r="AS39" s="427"/>
      <c r="AT39" s="2"/>
      <c r="AV39" s="126"/>
      <c r="AW39" s="126"/>
      <c r="AX39" s="126"/>
      <c r="AY39" s="126"/>
      <c r="AZ39" s="126"/>
    </row>
    <row r="40" spans="1:58" ht="12" customHeight="1">
      <c r="A40" s="113" t="s">
        <v>42</v>
      </c>
      <c r="B40" s="114" t="s">
        <v>673</v>
      </c>
      <c r="C40" s="115"/>
      <c r="D40" s="362">
        <f>VLOOKUP(hop5,'Info-Tabellen'!$R:$T,2,0)</f>
        <v>0</v>
      </c>
      <c r="E40" s="117"/>
      <c r="F40" s="118">
        <f t="shared" si="10"/>
      </c>
      <c r="G40" s="508" t="s">
        <v>41</v>
      </c>
      <c r="H40" s="509"/>
      <c r="I40" s="510"/>
      <c r="J40" s="116"/>
      <c r="K40" s="119" t="str">
        <f>VLOOKUP(G40,'Info-Tabellen'!$AD:$AF,2,0)</f>
        <v>-</v>
      </c>
      <c r="L40" s="120"/>
      <c r="M40" s="23"/>
      <c r="N40" s="399"/>
      <c r="O40" s="479">
        <f t="shared" si="11"/>
        <v>0</v>
      </c>
      <c r="T40" s="466">
        <v>38</v>
      </c>
      <c r="U40" s="467">
        <v>105</v>
      </c>
      <c r="V40" s="468">
        <v>62</v>
      </c>
      <c r="W40" s="469">
        <v>28</v>
      </c>
      <c r="X40" s="470">
        <v>239</v>
      </c>
      <c r="Y40" s="432"/>
      <c r="Z40" s="445"/>
      <c r="AA40" s="428"/>
      <c r="AB40" s="512" t="str">
        <f>VLOOKUP(G40,'Info-Tabellen'!$AD:$AF,3,0)</f>
        <v>-</v>
      </c>
      <c r="AC40" s="512"/>
      <c r="AD40" s="2"/>
      <c r="AR40" s="427"/>
      <c r="AS40" s="427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42</v>
      </c>
      <c r="B41" s="122" t="s">
        <v>43</v>
      </c>
      <c r="C41" s="129"/>
      <c r="D41" s="364">
        <f>VLOOKUP(hop6,'Info-Tabellen'!$R:$T,2,0)</f>
        <v>0</v>
      </c>
      <c r="E41" s="130"/>
      <c r="F41" s="131">
        <f t="shared" si="10"/>
      </c>
      <c r="G41" s="508" t="s">
        <v>41</v>
      </c>
      <c r="H41" s="509"/>
      <c r="I41" s="510"/>
      <c r="J41" s="110"/>
      <c r="K41" s="111" t="str">
        <f>VLOOKUP(G41,'Info-Tabellen'!$AD:$AF,2,0)</f>
        <v>-</v>
      </c>
      <c r="L41" s="112"/>
      <c r="M41" s="23"/>
      <c r="N41" s="399"/>
      <c r="O41" s="479">
        <f t="shared" si="11"/>
        <v>0</v>
      </c>
      <c r="T41" s="466">
        <v>39</v>
      </c>
      <c r="U41" s="467">
        <v>99</v>
      </c>
      <c r="V41" s="468">
        <v>58</v>
      </c>
      <c r="W41" s="469">
        <v>25</v>
      </c>
      <c r="X41" s="470">
        <v>240</v>
      </c>
      <c r="Y41" s="432"/>
      <c r="Z41" s="445"/>
      <c r="AA41" s="428"/>
      <c r="AB41" s="511" t="str">
        <f>VLOOKUP(G41,'Info-Tabellen'!$AD:$AF,3,0)</f>
        <v>-</v>
      </c>
      <c r="AC41" s="511"/>
      <c r="AD41" s="2"/>
      <c r="AR41" s="427"/>
      <c r="AS41" s="427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4" t="s">
        <v>44</v>
      </c>
      <c r="B42" s="354" t="s">
        <v>653</v>
      </c>
      <c r="C42" s="325"/>
      <c r="D42" s="132">
        <v>6</v>
      </c>
      <c r="E42" s="322" t="s">
        <v>45</v>
      </c>
      <c r="F42" s="133" t="str">
        <f>IF(C42=0,"  ",C42*D42/Gewenste_liters)</f>
        <v>  </v>
      </c>
      <c r="G42" s="508" t="s">
        <v>41</v>
      </c>
      <c r="H42" s="509"/>
      <c r="I42" s="510"/>
      <c r="J42" s="116"/>
      <c r="K42" s="119" t="str">
        <f>VLOOKUP(G42,'Info-Tabellen'!$AD:$AF,2,0)</f>
        <v>-</v>
      </c>
      <c r="L42" s="120"/>
      <c r="M42" s="23"/>
      <c r="N42" s="398" t="s">
        <v>46</v>
      </c>
      <c r="O42" s="480">
        <f>Vast_verlies</f>
        <v>0.5</v>
      </c>
      <c r="P42" s="376" t="s">
        <v>47</v>
      </c>
      <c r="Q42" s="376"/>
      <c r="R42" s="376"/>
      <c r="S42" s="376"/>
      <c r="T42" s="466">
        <v>40</v>
      </c>
      <c r="U42" s="467">
        <v>91</v>
      </c>
      <c r="V42" s="468">
        <v>55</v>
      </c>
      <c r="W42" s="469">
        <v>20</v>
      </c>
      <c r="X42" s="470">
        <v>240</v>
      </c>
      <c r="Y42" s="432"/>
      <c r="Z42" s="445"/>
      <c r="AA42" s="428"/>
      <c r="AB42" s="512" t="str">
        <f>VLOOKUP(G42,'Info-Tabellen'!$AD:$AF,3,0)</f>
        <v>-</v>
      </c>
      <c r="AC42" s="512"/>
      <c r="AD42" s="2"/>
      <c r="AR42" s="427"/>
      <c r="AS42" s="427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6" t="s">
        <v>630</v>
      </c>
      <c r="B43" s="281"/>
      <c r="C43" s="323"/>
      <c r="D43" s="525" t="s">
        <v>48</v>
      </c>
      <c r="E43" s="526"/>
      <c r="F43" s="321">
        <f>SUM(F36:F42)</f>
        <v>30.378647801600543</v>
      </c>
      <c r="G43" s="508" t="s">
        <v>41</v>
      </c>
      <c r="H43" s="509"/>
      <c r="I43" s="510"/>
      <c r="J43" s="135"/>
      <c r="K43" s="136" t="str">
        <f>VLOOKUP(G43,'Info-Tabellen'!$AD:$AF,2,0)</f>
        <v>-</v>
      </c>
      <c r="L43" s="137"/>
      <c r="M43" s="23"/>
      <c r="N43" s="398" t="s">
        <v>49</v>
      </c>
      <c r="O43" s="480">
        <f>SUM(O36:O42)</f>
        <v>0.797</v>
      </c>
      <c r="P43" s="376" t="s">
        <v>47</v>
      </c>
      <c r="Q43" s="376"/>
      <c r="R43" s="376"/>
      <c r="S43" s="376"/>
      <c r="T43" s="466">
        <v>41</v>
      </c>
      <c r="U43" s="467">
        <v>83</v>
      </c>
      <c r="V43" s="468">
        <v>51</v>
      </c>
      <c r="W43" s="469">
        <v>15</v>
      </c>
      <c r="X43" s="470">
        <v>241</v>
      </c>
      <c r="Y43" s="432"/>
      <c r="Z43" s="445"/>
      <c r="AA43" s="428"/>
      <c r="AB43" s="511" t="str">
        <f>VLOOKUP(G43,'Info-Tabellen'!$AD:$AF,3,0)</f>
        <v>-</v>
      </c>
      <c r="AC43" s="511"/>
      <c r="AD43" s="2"/>
      <c r="AR43" s="427"/>
      <c r="AS43" s="427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631</v>
      </c>
      <c r="B44" s="327"/>
      <c r="C44" s="328">
        <f>VLOOKUP(HoofdGist,'Info-Tabellen'!$X:$AB,4,0)</f>
        <v>24</v>
      </c>
      <c r="D44" s="138" t="s">
        <v>632</v>
      </c>
      <c r="F44" s="140"/>
      <c r="H44" s="139" t="s">
        <v>50</v>
      </c>
      <c r="I44" s="141">
        <v>20</v>
      </c>
      <c r="M44" s="23"/>
      <c r="N44" s="398" t="s">
        <v>51</v>
      </c>
      <c r="O44" s="481">
        <f>verkookpercent/100*Kooktijd/60*$L$27</f>
        <v>2.247768136033024</v>
      </c>
      <c r="P44" s="391" t="s">
        <v>685</v>
      </c>
      <c r="Q44" s="391"/>
      <c r="R44" s="391"/>
      <c r="S44" s="391"/>
      <c r="T44" s="466">
        <v>42</v>
      </c>
      <c r="U44" s="467">
        <v>74</v>
      </c>
      <c r="V44" s="468">
        <v>47</v>
      </c>
      <c r="W44" s="469">
        <v>7</v>
      </c>
      <c r="X44" s="470">
        <v>242</v>
      </c>
      <c r="Y44" s="432"/>
      <c r="Z44" s="445"/>
      <c r="AA44" s="428"/>
      <c r="AB44" s="142"/>
      <c r="AC44" s="142"/>
      <c r="AD44" s="2"/>
      <c r="AR44" s="427"/>
      <c r="AS44" s="427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52</v>
      </c>
      <c r="B45" s="144"/>
      <c r="C45" s="145" t="s">
        <v>53</v>
      </c>
      <c r="D45" s="146"/>
      <c r="E45" s="147" t="s">
        <v>54</v>
      </c>
      <c r="F45" s="148"/>
      <c r="G45" s="491">
        <f>Stamwort/1000</f>
        <v>1.06</v>
      </c>
      <c r="H45" s="149">
        <v>0</v>
      </c>
      <c r="I45" s="149"/>
      <c r="J45" s="151">
        <f>IF(Stamplato="","",IF(Eindcijfer="","",0.1808*Stamplato+0.8192*Eindplato))</f>
        <v>5.103696333065278</v>
      </c>
      <c r="L45" s="150">
        <f>IF(Stamwort="","",1+(Stamplato/(258.6-0.87955*Stamplato)))</f>
        <v>1.0600046531797402</v>
      </c>
      <c r="M45" s="23"/>
      <c r="O45" s="207"/>
      <c r="P45" s="376" t="s">
        <v>686</v>
      </c>
      <c r="S45" s="390"/>
      <c r="T45" s="466">
        <v>43</v>
      </c>
      <c r="U45" s="467">
        <v>76</v>
      </c>
      <c r="V45" s="468">
        <v>45</v>
      </c>
      <c r="W45" s="469">
        <v>40</v>
      </c>
      <c r="X45" s="470">
        <v>242</v>
      </c>
      <c r="Y45" s="432"/>
      <c r="Z45" s="445"/>
      <c r="AA45" s="428"/>
      <c r="AB45" s="316"/>
      <c r="AC45" s="152"/>
      <c r="AD45" s="153"/>
      <c r="AR45" s="427"/>
      <c r="AS45" s="427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56</v>
      </c>
      <c r="B46" s="155" t="s">
        <v>705</v>
      </c>
      <c r="C46" s="156">
        <v>1060</v>
      </c>
      <c r="D46" s="157">
        <f>IF(Stamwort="","SG",IF(meter="S.G.",Stamwort,IF(meter="°Plato",(0.0000152482628*Stamwort*Stamwort+0.0038422807854*Stamwort+1.0000602058824)*1000,IF(meter="Brix",259/(259.12955-Stamplato)*1000))))</f>
        <v>1060</v>
      </c>
      <c r="E46" s="528">
        <f>IF(Stamwort="","°Plato",IF(meter="°Plato",Stamwort,IF(meter="S.G.",(164.22197*$G$45*$G$45*$G$45-717.63578*$G$45*$G$45+1201.22307*$G$45-647.81258),IF(meter="Brix",Stamwort/Brixratio))))</f>
        <v>14.739305613519946</v>
      </c>
      <c r="F46" s="528"/>
      <c r="G46" s="529">
        <f>IF(Stamwort="","Brix",IF(meter="Brix",Stamwort,IF(meter="°Plato",Stamwort*Brixratio,IF(meter="S.G.",Stamplato*Brixratio))))</f>
        <v>15.255181309993143</v>
      </c>
      <c r="H46" s="529"/>
      <c r="K46" s="483" t="s">
        <v>690</v>
      </c>
      <c r="L46" s="158">
        <v>9</v>
      </c>
      <c r="M46" s="23"/>
      <c r="N46" s="407" t="s">
        <v>55</v>
      </c>
      <c r="O46" s="478">
        <f>verkookwater+hopverlies</f>
        <v>3.0447681360330243</v>
      </c>
      <c r="P46" s="390" t="s">
        <v>687</v>
      </c>
      <c r="Q46" s="390"/>
      <c r="R46" s="390"/>
      <c r="T46" s="466">
        <v>44</v>
      </c>
      <c r="U46" s="467">
        <v>66</v>
      </c>
      <c r="V46" s="468">
        <v>41</v>
      </c>
      <c r="W46" s="469">
        <v>36</v>
      </c>
      <c r="X46" s="470">
        <v>243</v>
      </c>
      <c r="Y46" s="432"/>
      <c r="Z46" s="445"/>
      <c r="AA46" s="428"/>
      <c r="AB46" s="152"/>
      <c r="AC46" s="152"/>
      <c r="AD46" s="153"/>
      <c r="AR46" s="427"/>
      <c r="AS46" s="427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57</v>
      </c>
      <c r="D47" s="162"/>
      <c r="G47" s="163" t="s">
        <v>58</v>
      </c>
      <c r="H47" s="164">
        <v>13</v>
      </c>
      <c r="I47" s="286" t="s">
        <v>597</v>
      </c>
      <c r="K47" s="530"/>
      <c r="L47" s="530"/>
      <c r="M47" s="23"/>
      <c r="O47" s="207"/>
      <c r="P47" s="390" t="s">
        <v>688</v>
      </c>
      <c r="T47" s="466">
        <v>45</v>
      </c>
      <c r="U47" s="467">
        <v>63</v>
      </c>
      <c r="V47" s="468">
        <v>38</v>
      </c>
      <c r="W47" s="469">
        <v>32</v>
      </c>
      <c r="X47" s="470">
        <v>244</v>
      </c>
      <c r="Y47" s="432"/>
      <c r="Z47" s="445"/>
      <c r="AA47" s="430"/>
      <c r="AB47" s="316"/>
      <c r="AC47" s="152"/>
      <c r="AD47" s="153"/>
      <c r="AR47" s="427"/>
      <c r="AS47" s="427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59</v>
      </c>
      <c r="C48" s="165" t="s">
        <v>709</v>
      </c>
      <c r="G48" s="19" t="s">
        <v>60</v>
      </c>
      <c r="H48" s="155" t="s">
        <v>705</v>
      </c>
      <c r="I48" s="266"/>
      <c r="K48" s="166" t="s">
        <v>598</v>
      </c>
      <c r="L48" s="156">
        <v>1030</v>
      </c>
      <c r="M48" s="23"/>
      <c r="T48" s="466"/>
      <c r="U48" s="467"/>
      <c r="V48" s="468"/>
      <c r="W48" s="469"/>
      <c r="X48" s="470"/>
      <c r="AA48" s="72"/>
      <c r="AB48" s="316"/>
      <c r="AC48" s="152"/>
      <c r="AD48" s="153"/>
      <c r="AI48" s="429"/>
      <c r="AJ48" s="430"/>
      <c r="AK48" s="430"/>
      <c r="AL48" s="430"/>
      <c r="AM48" s="430"/>
      <c r="AN48" s="430"/>
      <c r="AO48" s="430"/>
      <c r="AQ48" s="428"/>
      <c r="AR48" s="428"/>
      <c r="AS48" s="428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9">
        <f>IF(Eindcijfer="","- -",81.92*(Stamplato-Eindplato)/(206.65-1.0665*Stamplato))</f>
        <v>5.046657154323541</v>
      </c>
      <c r="F49" s="167">
        <f>IF(ISNUMBER(alconalager),12-(alconalager*100/1.97),"")</f>
        <v>8.736425193269529</v>
      </c>
      <c r="G49" s="490">
        <f>IF(Eindcijfer="","°Plato",IF(meternadien="°Plato",Eindcijfer,IF(meternadien="S.G.",(259*Eindcijfer/1000-259)/(Eindcijfer/1000-0.0089),Eindcijfer/1.03)))</f>
        <v>7.609440799138166</v>
      </c>
      <c r="H49" s="541">
        <f>IF(Eindcijfer="","Brix",IF(meternadien="Brix",Eindcijfer,IF(meternadien="°Plato",Eindcijfer*Brixratio,IF(meternadien="S.G.",VLeindplato*Brixratio))))</f>
        <v>7.875771227108001</v>
      </c>
      <c r="I49" s="541"/>
      <c r="J49" s="541"/>
      <c r="K49" s="260">
        <f>IF(Eindcijfer="","SG",IF(meternadien="S.G.",Eindcijfer,IF(meternadien="°Plato",(0.0000152482628*Eindcijfer*Eindcijfer+0.0038422807854*Eindcijfer+1.0000602058824)*1000,IF(meternadien="Brix",259/(259.12955-Eindcijfer)*1000))))</f>
        <v>1030</v>
      </c>
      <c r="L49" s="487">
        <f>IF(alconalager="","",IF(kleur&gt;107,6,((35000-(kleur^2))/3888)))</f>
        <v>8.981071672383022</v>
      </c>
      <c r="M49" s="23"/>
      <c r="T49" s="466"/>
      <c r="U49" s="467"/>
      <c r="V49" s="468"/>
      <c r="W49" s="469"/>
      <c r="X49" s="470"/>
      <c r="AA49" s="72"/>
      <c r="AI49" s="429"/>
      <c r="AJ49" s="430"/>
      <c r="AK49" s="430"/>
      <c r="AL49" s="430"/>
      <c r="AM49" s="430"/>
      <c r="AN49" s="430"/>
      <c r="AO49" s="430"/>
      <c r="AP49" s="430"/>
      <c r="AQ49" s="428"/>
      <c r="AR49" s="428"/>
      <c r="AS49" s="428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Met een hygrometer is dit &gt;</v>
      </c>
      <c r="B50" s="169">
        <f>IF(EindSG="SG","°Pt",IF(refofhyg="REFRAC",(259*EindSG/1000-259)/(EindSG/1000-0.0089),VLeindplato))</f>
        <v>2.9770872535899304</v>
      </c>
      <c r="C50" s="170" t="s">
        <v>61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1011.5247152896645</v>
      </c>
      <c r="F50" s="172"/>
      <c r="J50" s="134" t="s">
        <v>62</v>
      </c>
      <c r="K50" s="173">
        <f>IF(Totaalkg=0,"",IF(Bekomenliter="","",IF(Stamwort="","",StamSG/1000*Bekomenliter*totplato/(Totaalkg)/100)))</f>
        <v>0.33121399664681744</v>
      </c>
      <c r="M50" s="23"/>
      <c r="T50" s="466"/>
      <c r="U50" s="467"/>
      <c r="V50" s="468"/>
      <c r="W50" s="469"/>
      <c r="X50" s="470"/>
      <c r="AA50" s="72"/>
      <c r="AB50" s="152"/>
      <c r="AC50" s="152"/>
      <c r="AD50" s="153"/>
      <c r="AN50" s="430"/>
      <c r="AO50" s="430"/>
      <c r="AP50" s="430"/>
      <c r="AQ50" s="428"/>
      <c r="AR50" s="428"/>
      <c r="AS50" s="428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63</v>
      </c>
      <c r="B51" s="175">
        <f>IF(Stamwort="","",IF(Eindcijfer="","",((StamSG-EindSG)/(StamSG-1000))))</f>
        <v>0.8079214118389245</v>
      </c>
      <c r="C51" s="176" t="s">
        <v>64</v>
      </c>
      <c r="E51" s="177"/>
      <c r="F51" s="175">
        <f>IF(Eindcijfer="","",IF(Stamplato="","",(Stamplato-Restextract)/Stamplato))</f>
        <v>0.6537356326756804</v>
      </c>
      <c r="G51" s="178">
        <f>IF(alcogewicht="","",IF(Eindcijfer="","",IF(Bekomenliter="","",EindSG/1000*alcogewicht/0.794/100)))</f>
        <v>0.06429242369259028</v>
      </c>
      <c r="H51" s="179" t="s">
        <v>24</v>
      </c>
      <c r="I51" s="180" t="str">
        <f>IF(Eindcijfer="","",IF(nietvergist&gt;6,"!!!! &gt;",IF(nietvergist&gt;5,"zie na: &gt;&gt;","")))</f>
        <v>!!!! &gt;</v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6.035736910871236</v>
      </c>
      <c r="M51" s="23"/>
      <c r="T51" s="466"/>
      <c r="U51" s="467"/>
      <c r="V51" s="468"/>
      <c r="W51" s="469"/>
      <c r="X51" s="470"/>
      <c r="AA51" s="72"/>
      <c r="AB51" s="183"/>
      <c r="AC51" s="152"/>
      <c r="AD51" s="153"/>
      <c r="AI51" s="429"/>
      <c r="AJ51" s="430"/>
      <c r="AK51" s="430"/>
      <c r="AL51" s="430"/>
      <c r="AM51" s="430"/>
      <c r="AN51" s="430"/>
      <c r="AO51" s="430"/>
      <c r="AP51" s="430"/>
      <c r="AQ51" s="428"/>
      <c r="AR51" s="428"/>
      <c r="AS51" s="428"/>
      <c r="AT51" s="2"/>
    </row>
    <row r="52" spans="1:46" ht="14.25" customHeight="1">
      <c r="A52" s="184" t="s">
        <v>65</v>
      </c>
      <c r="B52" s="185">
        <f>IF($G$53="J",$K$53,IF(alconalager="","",IF(kleur&gt;50,botsuikervlgskleur,botsuikervlgsalco)))</f>
        <v>7</v>
      </c>
      <c r="D52" s="186" t="s">
        <v>66</v>
      </c>
      <c r="E52" s="187"/>
      <c r="F52"/>
      <c r="G52" s="188" t="s">
        <v>67</v>
      </c>
      <c r="H52" s="189"/>
      <c r="I52" s="287"/>
      <c r="J52" s="19" t="s">
        <v>629</v>
      </c>
      <c r="K52" s="524" t="s">
        <v>712</v>
      </c>
      <c r="L52" s="524"/>
      <c r="M52" s="23"/>
      <c r="T52" s="466"/>
      <c r="U52" s="467"/>
      <c r="V52" s="468"/>
      <c r="W52" s="469"/>
      <c r="X52" s="470"/>
      <c r="AA52" s="72"/>
      <c r="AB52" s="183"/>
      <c r="AC52" s="152"/>
      <c r="AD52" s="153"/>
      <c r="AI52" s="429"/>
      <c r="AJ52" s="430"/>
      <c r="AK52" s="430"/>
      <c r="AL52" s="430"/>
      <c r="AM52" s="430"/>
      <c r="AN52" s="430"/>
      <c r="AO52" s="430"/>
      <c r="AP52" s="430"/>
      <c r="AQ52" s="428"/>
      <c r="AR52" s="428"/>
      <c r="AS52" s="428"/>
      <c r="AT52" s="2"/>
    </row>
    <row r="53" spans="1:46" ht="12.75" customHeight="1">
      <c r="A53" s="74" t="s">
        <v>68</v>
      </c>
      <c r="B53" s="527" t="s">
        <v>69</v>
      </c>
      <c r="C53" s="527"/>
      <c r="F53" s="134" t="s">
        <v>70</v>
      </c>
      <c r="G53" s="60" t="s">
        <v>570</v>
      </c>
      <c r="J53" s="134" t="s">
        <v>71</v>
      </c>
      <c r="K53" s="320">
        <f>63/Bekomenliter</f>
        <v>7</v>
      </c>
      <c r="M53" s="23"/>
      <c r="T53" s="466"/>
      <c r="U53" s="467"/>
      <c r="V53" s="468"/>
      <c r="W53" s="469"/>
      <c r="X53" s="470"/>
      <c r="AA53" s="72"/>
      <c r="AB53" s="183"/>
      <c r="AC53" s="152"/>
      <c r="AD53" s="153"/>
      <c r="AI53" s="429"/>
      <c r="AJ53" s="430"/>
      <c r="AK53" s="430"/>
      <c r="AL53" s="430"/>
      <c r="AM53" s="430"/>
      <c r="AN53" s="430"/>
      <c r="AO53" s="430"/>
      <c r="AP53" s="430"/>
      <c r="AQ53" s="428"/>
      <c r="AR53" s="428"/>
      <c r="AS53" s="428"/>
      <c r="AT53" s="2"/>
    </row>
    <row r="54" spans="1:46" ht="12" customHeight="1">
      <c r="A54" s="190" t="s">
        <v>72</v>
      </c>
      <c r="B54" s="191">
        <f>IF(Eindcijfer="","",IF(suikersoort="Kristalsuiker",adviessuiker,IF(suikersoort="Dextrose",adviessuiker/0.93,adviessuiker/0.975)))</f>
        <v>7</v>
      </c>
      <c r="C54" s="192" t="s">
        <v>73</v>
      </c>
      <c r="D54" s="193">
        <f>IF(Eindcijfer="","",IF(adviessuiker="","",suikergift*Bekomenliter))</f>
        <v>63</v>
      </c>
      <c r="F54" s="195">
        <f>IF(Eindcijfer="","",IF(adviessuiker-nietvergist&lt;0,"GEEN",suikergift-nietvergist))</f>
        <v>0.9642630891287638</v>
      </c>
      <c r="G54" s="194"/>
      <c r="H54" s="289" t="s">
        <v>74</v>
      </c>
      <c r="I54" s="196">
        <f>IF(Eindcijfer="","",IF(adviessuiker-nietvergist&lt;0,"",(suikergift-nietvergist)*Bekomenliter))</f>
        <v>8.678367802158874</v>
      </c>
      <c r="J54" s="288" t="str">
        <f>IF(Eindcijfer="","",IF(suikergift=corsuiker,"Suikergift blijft dezelfde: ","Indien restsuiker verder kan uitgisten:"))</f>
        <v>Indien restsuiker verder kan uitgisten:</v>
      </c>
      <c r="K54" s="218"/>
      <c r="L54" s="218"/>
      <c r="M54" s="23"/>
      <c r="N54" s="281"/>
      <c r="O54" s="249"/>
      <c r="P54" s="378"/>
      <c r="Q54" s="378"/>
      <c r="R54" s="378"/>
      <c r="S54" s="378"/>
      <c r="T54" s="466"/>
      <c r="U54" s="467"/>
      <c r="V54" s="468"/>
      <c r="W54" s="469"/>
      <c r="X54" s="470"/>
      <c r="Y54" s="378"/>
      <c r="Z54" s="448"/>
      <c r="AA54" s="72"/>
      <c r="AB54" s="183"/>
      <c r="AC54" s="152"/>
      <c r="AD54" s="153"/>
      <c r="AI54" s="429"/>
      <c r="AJ54" s="430"/>
      <c r="AK54" s="430"/>
      <c r="AL54" s="430"/>
      <c r="AM54" s="430"/>
      <c r="AN54" s="430"/>
      <c r="AO54" s="430"/>
      <c r="AP54" s="430"/>
      <c r="AQ54" s="428"/>
      <c r="AR54" s="428"/>
      <c r="AS54" s="428"/>
      <c r="AT54" s="2"/>
    </row>
    <row r="55" spans="1:58" s="12" customFormat="1" ht="12" customHeight="1">
      <c r="A55" s="197" t="s">
        <v>75</v>
      </c>
      <c r="B55" s="198">
        <f>IF(ISNUMBER(alconalager),alconalager+(adviessuiker/16.5/100),"")</f>
        <v>0.06853484793501452</v>
      </c>
      <c r="C55" s="199"/>
      <c r="D55" s="200" t="s">
        <v>76</v>
      </c>
      <c r="E55" s="523">
        <f>IF($B$55="","",IF(Botdatum="","",IF($B$55*100&lt;5,((($B$55*100)-5)*30)+215+Botdatum,((($B$55*100)-5)*130)+215+Botdatum)))</f>
        <v>42151.95302315519</v>
      </c>
      <c r="F55" s="523"/>
      <c r="G55" s="201" t="s">
        <v>77</v>
      </c>
      <c r="H55" s="201"/>
      <c r="I55" s="201"/>
      <c r="J55" s="202"/>
      <c r="K55" s="202"/>
      <c r="L55" s="344"/>
      <c r="M55" s="223"/>
      <c r="N55" s="281"/>
      <c r="O55" s="249"/>
      <c r="P55" s="378"/>
      <c r="Q55" s="378"/>
      <c r="R55" s="378"/>
      <c r="S55" s="378"/>
      <c r="T55" s="466"/>
      <c r="U55" s="467"/>
      <c r="V55" s="468"/>
      <c r="W55" s="469"/>
      <c r="X55" s="470"/>
      <c r="Y55" s="378"/>
      <c r="Z55" s="448"/>
      <c r="AA55" s="403"/>
      <c r="AB55" s="183"/>
      <c r="AC55" s="152"/>
      <c r="AD55" s="153"/>
      <c r="AE55" s="368"/>
      <c r="AF55" s="368"/>
      <c r="AG55" s="368"/>
      <c r="AH55" s="368"/>
      <c r="AI55" s="424"/>
      <c r="AN55" s="430"/>
      <c r="AO55" s="430"/>
      <c r="AP55" s="430"/>
      <c r="AQ55" s="428"/>
      <c r="AR55" s="428"/>
      <c r="AS55" s="428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79</v>
      </c>
      <c r="B56" s="203"/>
      <c r="C56" s="203"/>
      <c r="D56" s="203"/>
      <c r="E56" s="351" t="s">
        <v>649</v>
      </c>
      <c r="F56" s="482" t="s">
        <v>703</v>
      </c>
      <c r="G56" s="350" t="s">
        <v>704</v>
      </c>
      <c r="I56" s="205"/>
      <c r="J56" s="205"/>
      <c r="K56" s="205"/>
      <c r="L56" s="205"/>
      <c r="M56" s="400"/>
      <c r="O56" s="249"/>
      <c r="P56" s="378"/>
      <c r="Q56" s="378"/>
      <c r="R56" s="378"/>
      <c r="S56" s="378"/>
      <c r="T56" s="466"/>
      <c r="U56" s="467"/>
      <c r="V56" s="468"/>
      <c r="W56" s="469"/>
      <c r="X56" s="470"/>
      <c r="Y56" s="378"/>
      <c r="Z56" s="448"/>
      <c r="AA56" s="403"/>
      <c r="AB56" s="183"/>
      <c r="AC56" s="152"/>
      <c r="AD56" s="153"/>
      <c r="AE56" s="368"/>
      <c r="AF56" s="368"/>
      <c r="AG56" s="368"/>
      <c r="AH56" s="368"/>
      <c r="AI56" s="429"/>
      <c r="AJ56" s="430"/>
      <c r="AK56" s="430"/>
      <c r="AL56" s="430"/>
      <c r="AM56" s="430"/>
      <c r="AN56" s="430"/>
      <c r="AO56" s="430"/>
      <c r="AP56" s="430"/>
      <c r="AQ56" s="428"/>
      <c r="AR56" s="428"/>
      <c r="AS56" s="428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706</v>
      </c>
      <c r="B57" s="492">
        <f>Bekomenliter</f>
        <v>9</v>
      </c>
      <c r="D57" s="493" t="s">
        <v>707</v>
      </c>
      <c r="E57" s="504">
        <f>ROUNDDOWN(B57/0.33/24,0)</f>
        <v>1</v>
      </c>
      <c r="F57" s="505"/>
      <c r="G57" s="506">
        <f>((B57/0.33/24)-E57)*24</f>
        <v>3.27272727272727</v>
      </c>
      <c r="H57" s="507"/>
      <c r="I57" s="205"/>
      <c r="J57" s="248"/>
      <c r="K57" s="205"/>
      <c r="L57" s="205"/>
      <c r="M57" s="400"/>
      <c r="N57" s="400"/>
      <c r="O57" s="205"/>
      <c r="P57" s="377"/>
      <c r="Q57" s="377"/>
      <c r="R57" s="377"/>
      <c r="S57" s="377"/>
      <c r="T57" s="466"/>
      <c r="U57" s="467"/>
      <c r="V57" s="468"/>
      <c r="W57" s="469"/>
      <c r="X57" s="470"/>
      <c r="Y57" s="377"/>
      <c r="Z57" s="449"/>
      <c r="AA57" s="403"/>
      <c r="AB57" s="183"/>
      <c r="AC57" s="152"/>
      <c r="AD57" s="153"/>
      <c r="AE57" s="368"/>
      <c r="AF57" s="368"/>
      <c r="AG57" s="368"/>
      <c r="AH57" s="368"/>
      <c r="AI57" s="429"/>
      <c r="AJ57" s="430"/>
      <c r="AK57" s="430"/>
      <c r="AL57" s="430"/>
      <c r="AM57" s="430"/>
      <c r="AN57" s="430"/>
      <c r="AO57" s="430"/>
      <c r="AP57" s="430"/>
      <c r="AQ57" s="428"/>
      <c r="AR57" s="428"/>
      <c r="AS57" s="428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80</v>
      </c>
      <c r="D58" s="205"/>
      <c r="E58" s="205"/>
      <c r="H58" s="205"/>
      <c r="I58" s="400"/>
      <c r="J58" s="437"/>
      <c r="L58" s="205"/>
      <c r="M58" s="400"/>
      <c r="N58" s="333"/>
      <c r="P58" s="377"/>
      <c r="Q58" s="377"/>
      <c r="R58" s="377"/>
      <c r="S58" s="377"/>
      <c r="T58" s="466"/>
      <c r="U58" s="467"/>
      <c r="V58" s="468"/>
      <c r="W58" s="469"/>
      <c r="X58" s="470"/>
      <c r="Y58" s="377"/>
      <c r="Z58" s="449"/>
      <c r="AA58" s="281"/>
      <c r="AB58" s="183"/>
      <c r="AC58" s="152"/>
      <c r="AD58" s="153"/>
      <c r="AE58" s="368"/>
      <c r="AF58" s="368"/>
      <c r="AG58" s="368"/>
      <c r="AH58" s="368"/>
      <c r="AI58" s="429"/>
      <c r="AJ58" s="430"/>
      <c r="AK58" s="430"/>
      <c r="AL58" s="430"/>
      <c r="AM58" s="430"/>
      <c r="AN58" s="430"/>
      <c r="AO58" s="430"/>
      <c r="AP58" s="430"/>
      <c r="AQ58" s="428"/>
      <c r="AR58" s="428"/>
      <c r="AS58" s="428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203"/>
      <c r="C59" s="203"/>
      <c r="D59" s="203"/>
      <c r="E59" s="203"/>
      <c r="F59" s="203"/>
      <c r="G59" s="203"/>
      <c r="I59" s="437"/>
      <c r="J59" s="437"/>
      <c r="K59" s="203"/>
      <c r="L59" s="205"/>
      <c r="M59" s="400"/>
      <c r="N59" s="400"/>
      <c r="O59" s="205"/>
      <c r="P59" s="377"/>
      <c r="Q59" s="377"/>
      <c r="R59" s="377"/>
      <c r="S59" s="377"/>
      <c r="T59" s="466"/>
      <c r="U59" s="467"/>
      <c r="V59" s="468"/>
      <c r="W59" s="469"/>
      <c r="X59" s="470"/>
      <c r="Y59" s="377"/>
      <c r="Z59" s="449"/>
      <c r="AA59" s="404"/>
      <c r="AB59" s="183"/>
      <c r="AC59" s="152"/>
      <c r="AD59" s="153"/>
      <c r="AE59" s="368"/>
      <c r="AF59" s="368"/>
      <c r="AG59" s="368"/>
      <c r="AH59" s="368"/>
      <c r="AI59" s="429"/>
      <c r="AJ59" s="430"/>
      <c r="AK59" s="430"/>
      <c r="AL59" s="430"/>
      <c r="AM59" s="430"/>
      <c r="AN59" s="430"/>
      <c r="AO59" s="430"/>
      <c r="AP59" s="430"/>
      <c r="AQ59" s="428"/>
      <c r="AR59" s="428"/>
      <c r="AS59" s="428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81</v>
      </c>
      <c r="B60" s="211"/>
      <c r="C60" s="211"/>
      <c r="D60" s="247"/>
      <c r="H60" s="204"/>
      <c r="I60" s="437"/>
      <c r="J60" s="437"/>
      <c r="K60" s="204"/>
      <c r="M60" s="402"/>
      <c r="N60" s="333"/>
      <c r="P60" s="88"/>
      <c r="Q60" s="88"/>
      <c r="R60" s="88"/>
      <c r="S60" s="88"/>
      <c r="T60" s="466"/>
      <c r="U60" s="467"/>
      <c r="V60" s="468"/>
      <c r="W60" s="469"/>
      <c r="X60" s="470"/>
      <c r="Y60" s="88"/>
      <c r="Z60" s="447"/>
      <c r="AA60" s="404"/>
      <c r="AB60" s="183"/>
      <c r="AC60" s="152"/>
      <c r="AD60" s="153"/>
      <c r="AE60" s="368"/>
      <c r="AF60" s="368"/>
      <c r="AG60" s="368"/>
      <c r="AH60" s="368"/>
      <c r="AI60" s="424"/>
      <c r="AN60" s="430"/>
      <c r="AO60" s="430"/>
      <c r="AP60" s="430"/>
      <c r="AQ60" s="428"/>
      <c r="AR60" s="428"/>
      <c r="AS60" s="428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82</v>
      </c>
      <c r="B61" s="204"/>
      <c r="C61" s="212"/>
      <c r="D61" s="204"/>
      <c r="E61" s="204"/>
      <c r="F61" s="204"/>
      <c r="G61" s="204"/>
      <c r="H61" s="204"/>
      <c r="I61" s="437"/>
      <c r="J61" s="437"/>
      <c r="K61" s="204"/>
      <c r="L61" s="204"/>
      <c r="M61" s="333"/>
      <c r="T61" s="466"/>
      <c r="U61" s="467"/>
      <c r="V61" s="468"/>
      <c r="W61" s="469"/>
      <c r="X61" s="470"/>
      <c r="AA61" s="404"/>
      <c r="AB61" s="213"/>
      <c r="AC61" s="152"/>
      <c r="AD61" s="210"/>
      <c r="AE61" s="369"/>
      <c r="AF61" s="369"/>
      <c r="AG61" s="369"/>
      <c r="AH61" s="369"/>
      <c r="AI61" s="429"/>
      <c r="AJ61" s="430"/>
      <c r="AK61" s="430"/>
      <c r="AL61" s="430"/>
      <c r="AM61" s="430"/>
      <c r="AN61" s="430"/>
      <c r="AO61" s="430"/>
      <c r="AP61" s="430"/>
      <c r="AQ61" s="428"/>
      <c r="AR61" s="428"/>
      <c r="AS61" s="428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83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01"/>
      <c r="N62" s="401"/>
      <c r="O62" s="204"/>
      <c r="P62" s="377"/>
      <c r="Q62" s="377"/>
      <c r="R62" s="377"/>
      <c r="S62" s="377"/>
      <c r="T62" s="466"/>
      <c r="U62" s="467"/>
      <c r="V62" s="468"/>
      <c r="W62" s="469"/>
      <c r="X62" s="470"/>
      <c r="Y62" s="377"/>
      <c r="Z62" s="449"/>
      <c r="AA62" s="404"/>
      <c r="AB62" s="214"/>
      <c r="AC62" s="152"/>
      <c r="AD62" s="210"/>
      <c r="AE62" s="369"/>
      <c r="AF62" s="369"/>
      <c r="AG62" s="369"/>
      <c r="AH62" s="369"/>
      <c r="AI62" s="429"/>
      <c r="AJ62" s="430"/>
      <c r="AK62" s="430"/>
      <c r="AL62" s="430"/>
      <c r="AM62" s="430"/>
      <c r="AN62" s="430"/>
      <c r="AO62" s="430"/>
      <c r="AP62" s="430"/>
      <c r="AQ62" s="428"/>
      <c r="AR62" s="428"/>
      <c r="AS62" s="428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84</v>
      </c>
      <c r="B63" s="204"/>
      <c r="C63" s="204"/>
      <c r="D63" s="204"/>
      <c r="E63" s="215"/>
      <c r="F63" s="204"/>
      <c r="G63" s="215"/>
      <c r="H63" s="204"/>
      <c r="I63" s="204"/>
      <c r="J63" s="204"/>
      <c r="K63" s="204"/>
      <c r="L63" s="204"/>
      <c r="M63" s="401"/>
      <c r="N63" s="401"/>
      <c r="O63" s="204"/>
      <c r="P63" s="377"/>
      <c r="Q63" s="377"/>
      <c r="R63" s="377"/>
      <c r="S63" s="377"/>
      <c r="T63" s="466"/>
      <c r="U63" s="467"/>
      <c r="V63" s="468"/>
      <c r="W63" s="469"/>
      <c r="X63" s="470"/>
      <c r="Y63" s="377"/>
      <c r="Z63" s="449"/>
      <c r="AA63" s="404"/>
      <c r="AB63" s="183"/>
      <c r="AC63" s="152"/>
      <c r="AD63" s="210"/>
      <c r="AE63" s="369"/>
      <c r="AF63" s="369"/>
      <c r="AG63" s="369"/>
      <c r="AH63" s="369"/>
      <c r="AI63" s="429"/>
      <c r="AJ63" s="430"/>
      <c r="AK63" s="430"/>
      <c r="AL63" s="430"/>
      <c r="AM63" s="430"/>
      <c r="AN63" s="430"/>
      <c r="AO63" s="430"/>
      <c r="AP63" s="430"/>
      <c r="AQ63" s="428"/>
      <c r="AR63" s="428"/>
      <c r="AS63" s="428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85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01"/>
      <c r="N64" s="401"/>
      <c r="O64" s="204"/>
      <c r="P64" s="377"/>
      <c r="Q64" s="377"/>
      <c r="R64" s="377"/>
      <c r="S64" s="377"/>
      <c r="T64" s="466"/>
      <c r="U64" s="467"/>
      <c r="V64" s="468"/>
      <c r="W64" s="469"/>
      <c r="X64" s="470"/>
      <c r="Y64" s="377"/>
      <c r="Z64" s="449"/>
      <c r="AA64" s="404"/>
      <c r="AB64" s="183"/>
      <c r="AC64" s="152"/>
      <c r="AD64" s="210"/>
      <c r="AE64" s="369"/>
      <c r="AF64" s="369"/>
      <c r="AG64" s="369"/>
      <c r="AH64" s="369"/>
      <c r="AI64" s="429"/>
      <c r="AJ64" s="430"/>
      <c r="AK64" s="430"/>
      <c r="AL64" s="430"/>
      <c r="AM64" s="430"/>
      <c r="AN64" s="430"/>
      <c r="AO64" s="430"/>
      <c r="AP64" s="430"/>
      <c r="AQ64" s="428"/>
      <c r="AR64" s="428"/>
      <c r="AS64" s="428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 t="s">
        <v>86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401"/>
      <c r="N65" s="401"/>
      <c r="O65" s="204"/>
      <c r="P65" s="377"/>
      <c r="Q65" s="377"/>
      <c r="R65" s="377"/>
      <c r="S65" s="377"/>
      <c r="T65" s="466"/>
      <c r="U65" s="467"/>
      <c r="V65" s="468"/>
      <c r="W65" s="469"/>
      <c r="X65" s="470"/>
      <c r="Y65" s="377"/>
      <c r="Z65" s="449"/>
      <c r="AA65" s="404"/>
      <c r="AB65" s="183"/>
      <c r="AC65" s="152"/>
      <c r="AD65" s="210"/>
      <c r="AE65" s="369"/>
      <c r="AF65" s="369"/>
      <c r="AG65" s="369"/>
      <c r="AH65" s="369"/>
      <c r="AI65" s="424"/>
      <c r="AN65" s="430"/>
      <c r="AO65" s="430"/>
      <c r="AP65" s="430"/>
      <c r="AQ65" s="428"/>
      <c r="AR65" s="428"/>
      <c r="AS65" s="428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01"/>
      <c r="N66" s="401"/>
      <c r="O66" s="204"/>
      <c r="P66" s="377"/>
      <c r="Q66" s="377"/>
      <c r="R66" s="377"/>
      <c r="S66" s="377"/>
      <c r="T66" s="466"/>
      <c r="U66" s="467"/>
      <c r="V66" s="468"/>
      <c r="W66" s="469"/>
      <c r="X66" s="470"/>
      <c r="Y66" s="377"/>
      <c r="Z66" s="449"/>
      <c r="AA66" s="404"/>
      <c r="AB66" s="183"/>
      <c r="AC66" s="152"/>
      <c r="AD66" s="210"/>
      <c r="AE66" s="369"/>
      <c r="AF66" s="369"/>
      <c r="AG66" s="369"/>
      <c r="AH66" s="369"/>
      <c r="AI66" s="429"/>
      <c r="AJ66" s="430"/>
      <c r="AK66" s="430"/>
      <c r="AL66" s="430"/>
      <c r="AM66" s="430"/>
      <c r="AN66" s="430"/>
      <c r="AO66" s="430"/>
      <c r="AP66" s="430"/>
      <c r="AQ66" s="428"/>
      <c r="AR66" s="428"/>
      <c r="AS66" s="428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401"/>
      <c r="N67" s="401"/>
      <c r="O67" s="204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449"/>
      <c r="AA67" s="404"/>
      <c r="AB67" s="183"/>
      <c r="AC67" s="152"/>
      <c r="AD67" s="210"/>
      <c r="AE67" s="369"/>
      <c r="AF67" s="369"/>
      <c r="AG67" s="369"/>
      <c r="AH67" s="369"/>
      <c r="AI67" s="429"/>
      <c r="AJ67" s="430"/>
      <c r="AK67" s="430"/>
      <c r="AL67" s="430"/>
      <c r="AM67" s="430"/>
      <c r="AN67" s="430"/>
      <c r="AO67" s="430"/>
      <c r="AP67" s="430"/>
      <c r="AQ67" s="428"/>
      <c r="AR67" s="428"/>
      <c r="AS67" s="428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72" t="s">
        <v>682</v>
      </c>
      <c r="O68" s="473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5"/>
      <c r="AA68" s="404"/>
      <c r="AB68" s="183"/>
      <c r="AC68" s="152"/>
      <c r="AD68" s="210"/>
      <c r="AE68" s="369"/>
      <c r="AF68" s="369"/>
      <c r="AG68" s="369"/>
      <c r="AH68" s="369"/>
      <c r="AI68" s="424"/>
      <c r="AN68" s="430"/>
      <c r="AO68" s="430"/>
      <c r="AP68" s="430"/>
      <c r="AQ68" s="428"/>
      <c r="AR68" s="428"/>
      <c r="AS68" s="428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401"/>
      <c r="O69" s="204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449"/>
      <c r="AA69" s="404"/>
      <c r="AB69" s="183"/>
      <c r="AC69" s="152"/>
      <c r="AD69" s="210"/>
      <c r="AE69" s="369"/>
      <c r="AF69" s="369"/>
      <c r="AG69" s="369"/>
      <c r="AH69" s="369"/>
      <c r="AI69" s="429"/>
      <c r="AJ69" s="430"/>
      <c r="AK69" s="430"/>
      <c r="AL69" s="430"/>
      <c r="AM69" s="430"/>
      <c r="AN69" s="430"/>
      <c r="AO69" s="430"/>
      <c r="AP69" s="430"/>
      <c r="AQ69" s="428"/>
      <c r="AR69" s="428"/>
      <c r="AS69" s="428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400"/>
      <c r="O70" s="205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449"/>
      <c r="AA70" s="404"/>
      <c r="AB70" s="210"/>
      <c r="AC70" s="152"/>
      <c r="AD70" s="210"/>
      <c r="AE70" s="369"/>
      <c r="AF70" s="369"/>
      <c r="AG70" s="369"/>
      <c r="AH70" s="369"/>
      <c r="AI70" s="424"/>
      <c r="AN70" s="430"/>
      <c r="AO70" s="430"/>
      <c r="AP70" s="430"/>
      <c r="AQ70" s="428"/>
      <c r="AR70" s="428"/>
      <c r="AS70" s="428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2"/>
      <c r="M71" s="335"/>
      <c r="N71" s="337"/>
      <c r="O71" s="34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50"/>
      <c r="AA71" s="405"/>
      <c r="AB71" s="210"/>
      <c r="AC71" s="152"/>
      <c r="AD71" s="210"/>
      <c r="AE71" s="369"/>
      <c r="AF71" s="369"/>
      <c r="AG71" s="369"/>
      <c r="AH71" s="369"/>
      <c r="AI71" s="429"/>
      <c r="AJ71" s="430"/>
      <c r="AK71" s="430"/>
      <c r="AL71" s="430"/>
      <c r="AM71" s="430"/>
      <c r="AN71" s="430"/>
      <c r="AO71" s="430"/>
      <c r="AP71" s="430"/>
      <c r="AQ71" s="428"/>
      <c r="AR71" s="428"/>
      <c r="AS71" s="428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40" t="s">
        <v>663</v>
      </c>
      <c r="B72" s="537" t="s">
        <v>638</v>
      </c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335"/>
      <c r="N72" s="337"/>
      <c r="O72" s="34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450"/>
      <c r="AA72" s="405"/>
      <c r="AB72" s="210"/>
      <c r="AC72" s="152"/>
      <c r="AD72" s="210"/>
      <c r="AE72" s="369"/>
      <c r="AF72" s="369"/>
      <c r="AG72" s="369"/>
      <c r="AH72" s="369"/>
      <c r="AI72" s="429"/>
      <c r="AJ72" s="430"/>
      <c r="AK72" s="430"/>
      <c r="AL72" s="430"/>
      <c r="AM72" s="430"/>
      <c r="AN72" s="430"/>
      <c r="AO72" s="430"/>
      <c r="AP72" s="430"/>
      <c r="AQ72" s="428"/>
      <c r="AR72" s="428"/>
      <c r="AS72" s="428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9"/>
      <c r="B73" s="341" t="s">
        <v>637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36"/>
      <c r="N73" s="337"/>
      <c r="O73" s="34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450"/>
      <c r="AA73" s="405"/>
      <c r="AB73" s="210"/>
      <c r="AC73" s="152"/>
      <c r="AD73" s="210"/>
      <c r="AE73" s="369"/>
      <c r="AF73" s="369"/>
      <c r="AG73" s="369"/>
      <c r="AH73" s="369"/>
      <c r="AI73" s="429"/>
      <c r="AJ73" s="430"/>
      <c r="AK73" s="430"/>
      <c r="AL73" s="430"/>
      <c r="AM73" s="430"/>
      <c r="AN73" s="430"/>
      <c r="AO73" s="430"/>
      <c r="AP73" s="430"/>
      <c r="AQ73" s="428"/>
      <c r="AR73" s="428"/>
      <c r="AS73" s="428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9"/>
      <c r="B74" s="341" t="s">
        <v>639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35"/>
      <c r="N74" s="337"/>
      <c r="O74" s="34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450"/>
      <c r="AA74" s="405"/>
      <c r="AB74" s="210"/>
      <c r="AC74" s="152"/>
      <c r="AD74" s="210"/>
      <c r="AE74" s="369"/>
      <c r="AF74" s="369"/>
      <c r="AG74" s="369"/>
      <c r="AH74" s="369"/>
      <c r="AI74" s="424"/>
      <c r="AN74" s="430"/>
      <c r="AO74" s="430"/>
      <c r="AP74" s="430"/>
      <c r="AQ74" s="428"/>
      <c r="AR74" s="428"/>
      <c r="AS74" s="428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9"/>
      <c r="B75" s="341" t="s">
        <v>662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37"/>
      <c r="N75" s="337"/>
      <c r="O75" s="34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450"/>
      <c r="AA75" s="405"/>
      <c r="AB75" s="210"/>
      <c r="AC75" s="152"/>
      <c r="AD75" s="210"/>
      <c r="AE75" s="369"/>
      <c r="AF75" s="369"/>
      <c r="AG75" s="369"/>
      <c r="AH75" s="369"/>
      <c r="AI75" s="424"/>
      <c r="AN75" s="430"/>
      <c r="AO75" s="430"/>
      <c r="AP75" s="430"/>
      <c r="AQ75" s="428"/>
      <c r="AR75" s="428"/>
      <c r="AS75" s="428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9"/>
      <c r="B76" s="341" t="s">
        <v>668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35"/>
      <c r="N76" s="337"/>
      <c r="O76" s="34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450"/>
      <c r="AA76" s="405"/>
      <c r="AB76" s="210"/>
      <c r="AC76" s="152"/>
      <c r="AD76" s="210"/>
      <c r="AE76" s="369"/>
      <c r="AF76" s="369"/>
      <c r="AG76" s="369"/>
      <c r="AH76" s="369"/>
      <c r="AI76" s="424"/>
      <c r="AN76" s="430"/>
      <c r="AO76" s="430"/>
      <c r="AP76" s="430"/>
      <c r="AQ76" s="428"/>
      <c r="AR76" s="428"/>
      <c r="AS76" s="428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9"/>
      <c r="B77" s="341" t="s">
        <v>664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35"/>
      <c r="N77" s="337"/>
      <c r="O77" s="34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450"/>
      <c r="AA77" s="405"/>
      <c r="AC77" s="61"/>
      <c r="AE77" s="367"/>
      <c r="AF77" s="367"/>
      <c r="AG77" s="367"/>
      <c r="AH77" s="367"/>
      <c r="AI77" s="424"/>
      <c r="AN77" s="430"/>
      <c r="AO77" s="430"/>
      <c r="AP77" s="430"/>
      <c r="AQ77" s="428"/>
      <c r="AR77" s="428"/>
      <c r="AS77" s="428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9"/>
      <c r="B78" s="341" t="s">
        <v>689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35"/>
      <c r="N78" s="337"/>
      <c r="O78" s="34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450"/>
      <c r="AA78" s="405"/>
      <c r="AC78" s="61"/>
      <c r="AE78" s="367"/>
      <c r="AF78" s="367"/>
      <c r="AG78" s="367"/>
      <c r="AH78" s="367"/>
      <c r="AI78" s="424"/>
      <c r="AN78" s="430"/>
      <c r="AO78" s="430"/>
      <c r="AP78" s="430"/>
      <c r="AQ78" s="428"/>
      <c r="AR78" s="428"/>
      <c r="AS78" s="428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9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35"/>
      <c r="N79" s="337"/>
      <c r="O79" s="34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450"/>
      <c r="AA79" s="405"/>
      <c r="AC79" s="61"/>
      <c r="AE79" s="367"/>
      <c r="AF79" s="367"/>
      <c r="AG79" s="367"/>
      <c r="AH79" s="367"/>
      <c r="AI79" s="424"/>
      <c r="AN79" s="430"/>
      <c r="AO79" s="430"/>
      <c r="AP79" s="430"/>
      <c r="AQ79" s="428"/>
      <c r="AR79" s="428"/>
      <c r="AS79" s="428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35"/>
      <c r="N80" s="337"/>
      <c r="O80" s="34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450"/>
      <c r="AA80" s="405"/>
      <c r="AC80" s="61"/>
      <c r="AE80" s="367"/>
      <c r="AF80" s="367"/>
      <c r="AG80" s="367"/>
      <c r="AH80" s="367"/>
      <c r="AI80" s="424"/>
      <c r="AN80" s="430"/>
      <c r="AO80" s="430"/>
      <c r="AP80" s="430"/>
      <c r="AQ80" s="428"/>
      <c r="AR80" s="428"/>
      <c r="AS80" s="428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9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35"/>
      <c r="N81" s="337"/>
      <c r="O81" s="34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450"/>
      <c r="AA81" s="405"/>
      <c r="AC81" s="61"/>
      <c r="AE81" s="367"/>
      <c r="AF81" s="367"/>
      <c r="AG81" s="367"/>
      <c r="AH81" s="367"/>
      <c r="AI81" s="424"/>
      <c r="AN81" s="430"/>
      <c r="AO81" s="430"/>
      <c r="AP81" s="430"/>
      <c r="AQ81" s="428"/>
      <c r="AR81" s="428"/>
      <c r="AS81" s="428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35"/>
      <c r="N82" s="337"/>
      <c r="O82" s="34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450"/>
      <c r="AA82" s="405"/>
      <c r="AC82" s="61"/>
      <c r="AE82" s="367"/>
      <c r="AF82" s="367"/>
      <c r="AG82" s="367"/>
      <c r="AH82" s="367"/>
      <c r="AI82" s="424"/>
      <c r="AN82" s="430"/>
      <c r="AO82" s="430"/>
      <c r="AP82" s="430"/>
      <c r="AQ82" s="428"/>
      <c r="AR82" s="428"/>
      <c r="AS82" s="428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35"/>
      <c r="N83" s="337"/>
      <c r="O83" s="34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450"/>
      <c r="AA83" s="405"/>
      <c r="AC83" s="61"/>
      <c r="AE83" s="367"/>
      <c r="AF83" s="367"/>
      <c r="AG83" s="367"/>
      <c r="AH83" s="367"/>
      <c r="AI83" s="424"/>
      <c r="AN83" s="430"/>
      <c r="AO83" s="430"/>
      <c r="AP83" s="430"/>
      <c r="AQ83" s="428"/>
      <c r="AR83" s="428"/>
      <c r="AS83" s="428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9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35"/>
      <c r="N84" s="337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7"/>
      <c r="AA84" s="333"/>
      <c r="AC84" s="61"/>
      <c r="AE84" s="367"/>
      <c r="AF84" s="367"/>
      <c r="AG84" s="367"/>
      <c r="AH84" s="367"/>
      <c r="AI84" s="424"/>
      <c r="AN84" s="430"/>
      <c r="AO84" s="430"/>
      <c r="AP84" s="430"/>
      <c r="AQ84" s="428"/>
      <c r="AR84" s="428"/>
      <c r="AS84" s="428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35"/>
      <c r="N85" s="33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7"/>
      <c r="AA85" s="333"/>
      <c r="AC85" s="61"/>
      <c r="AE85" s="367"/>
      <c r="AF85" s="367"/>
      <c r="AG85" s="367"/>
      <c r="AH85" s="367"/>
      <c r="AI85" s="424"/>
      <c r="AN85" s="430"/>
      <c r="AO85" s="430"/>
      <c r="AP85" s="430"/>
      <c r="AQ85" s="428"/>
      <c r="AR85" s="428"/>
      <c r="AS85" s="428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35"/>
      <c r="N86" s="33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7"/>
      <c r="AA86" s="333"/>
      <c r="AC86" s="61"/>
      <c r="AE86" s="367"/>
      <c r="AF86" s="367"/>
      <c r="AG86" s="367"/>
      <c r="AH86" s="367"/>
      <c r="AI86" s="424"/>
      <c r="AN86" s="430"/>
      <c r="AO86" s="430"/>
      <c r="AP86" s="430"/>
      <c r="AQ86" s="428"/>
      <c r="AR86" s="428"/>
      <c r="AS86" s="428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5"/>
      <c r="N87" s="33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7"/>
      <c r="AA87" s="333"/>
      <c r="AC87" s="61"/>
      <c r="AE87" s="367"/>
      <c r="AF87" s="367"/>
      <c r="AG87" s="367"/>
      <c r="AH87" s="367"/>
      <c r="AI87" s="424"/>
      <c r="AN87" s="430"/>
      <c r="AO87" s="430"/>
      <c r="AP87" s="430"/>
      <c r="AQ87" s="428"/>
      <c r="AR87" s="428"/>
      <c r="AS87" s="428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8"/>
      <c r="N88" s="408"/>
      <c r="AC88" s="216"/>
      <c r="AN88" s="430"/>
      <c r="AO88" s="430"/>
      <c r="AP88" s="430"/>
      <c r="AQ88" s="428"/>
      <c r="AR88" s="428"/>
      <c r="AS88" s="428"/>
      <c r="AT88" s="2"/>
    </row>
    <row r="89" spans="1:46" ht="13.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8"/>
      <c r="N89" s="408"/>
      <c r="AC89" s="216"/>
      <c r="AN89" s="430"/>
      <c r="AO89" s="430"/>
      <c r="AP89" s="430"/>
      <c r="AQ89" s="428"/>
      <c r="AR89" s="428"/>
      <c r="AS89" s="428"/>
      <c r="AT89" s="2"/>
    </row>
    <row r="90" spans="1:46" ht="13.5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8"/>
      <c r="N90" s="408"/>
      <c r="AC90" s="216"/>
      <c r="AN90" s="430"/>
      <c r="AO90" s="430"/>
      <c r="AP90" s="430"/>
      <c r="AQ90" s="428"/>
      <c r="AR90" s="428"/>
      <c r="AS90" s="428"/>
      <c r="AT90" s="2"/>
    </row>
    <row r="91" spans="1:46" ht="13.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8"/>
      <c r="N91" s="408"/>
      <c r="AC91" s="216"/>
      <c r="AN91" s="430"/>
      <c r="AO91" s="430"/>
      <c r="AP91" s="430"/>
      <c r="AQ91" s="428"/>
      <c r="AR91" s="428"/>
      <c r="AS91" s="428"/>
      <c r="AT91" s="2"/>
    </row>
    <row r="92" spans="1:46" ht="13.5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8"/>
      <c r="N92" s="408"/>
      <c r="AC92" s="216"/>
      <c r="AN92" s="430"/>
      <c r="AO92" s="430"/>
      <c r="AP92" s="430"/>
      <c r="AQ92" s="428"/>
      <c r="AR92" s="428"/>
      <c r="AS92" s="428"/>
      <c r="AT92" s="2"/>
    </row>
    <row r="93" spans="1:46" ht="13.5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408"/>
      <c r="AC93" s="216"/>
      <c r="AN93" s="430"/>
      <c r="AO93" s="430"/>
      <c r="AP93" s="430"/>
      <c r="AQ93" s="428"/>
      <c r="AR93" s="428"/>
      <c r="AS93" s="428"/>
      <c r="AT93" s="2"/>
    </row>
    <row r="94" spans="1:58" s="126" customFormat="1" ht="13.5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8"/>
      <c r="N94" s="408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450"/>
      <c r="AA94" s="406"/>
      <c r="AC94" s="217"/>
      <c r="AE94" s="367"/>
      <c r="AF94" s="367"/>
      <c r="AG94" s="367"/>
      <c r="AH94" s="367"/>
      <c r="AI94" s="425"/>
      <c r="AN94" s="430"/>
      <c r="AO94" s="430"/>
      <c r="AP94" s="430"/>
      <c r="AQ94" s="428"/>
      <c r="AR94" s="428"/>
      <c r="AS94" s="428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8"/>
      <c r="N95" s="408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450"/>
      <c r="AA95" s="406"/>
      <c r="AC95" s="217"/>
      <c r="AE95" s="367"/>
      <c r="AF95" s="367"/>
      <c r="AG95" s="367"/>
      <c r="AH95" s="367"/>
      <c r="AI95" s="425"/>
      <c r="AN95" s="430"/>
      <c r="AO95" s="430"/>
      <c r="AP95" s="430"/>
      <c r="AQ95" s="428"/>
      <c r="AR95" s="428"/>
      <c r="AS95" s="428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8"/>
      <c r="N96" s="408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450"/>
      <c r="AA96" s="406"/>
      <c r="AC96" s="217"/>
      <c r="AE96" s="367"/>
      <c r="AF96" s="367"/>
      <c r="AG96" s="367"/>
      <c r="AH96" s="367"/>
      <c r="AI96" s="425"/>
      <c r="AN96" s="430"/>
      <c r="AO96" s="430"/>
      <c r="AP96" s="430"/>
      <c r="AQ96" s="428"/>
      <c r="AR96" s="428"/>
      <c r="AS96" s="428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5"/>
      <c r="N97" s="337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450"/>
      <c r="AA97" s="405"/>
      <c r="AC97" s="105"/>
      <c r="AE97" s="367"/>
      <c r="AF97" s="367"/>
      <c r="AG97" s="367"/>
      <c r="AH97" s="367"/>
      <c r="AI97" s="426"/>
      <c r="AN97" s="430"/>
      <c r="AO97" s="430"/>
      <c r="AP97" s="430"/>
      <c r="AQ97" s="428"/>
      <c r="AR97" s="428"/>
      <c r="AS97" s="428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5"/>
      <c r="N98" s="337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450"/>
      <c r="AA98" s="405"/>
      <c r="AC98" s="105"/>
      <c r="AE98" s="367"/>
      <c r="AF98" s="367"/>
      <c r="AG98" s="367"/>
      <c r="AH98" s="367"/>
      <c r="AI98" s="426"/>
      <c r="AN98" s="430"/>
      <c r="AO98" s="430"/>
      <c r="AP98" s="430"/>
      <c r="AQ98" s="428"/>
      <c r="AR98" s="428"/>
      <c r="AS98" s="428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5"/>
      <c r="N99" s="337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450"/>
      <c r="AA99" s="405"/>
      <c r="AC99" s="105"/>
      <c r="AE99" s="367"/>
      <c r="AF99" s="367"/>
      <c r="AG99" s="367"/>
      <c r="AH99" s="367"/>
      <c r="AI99" s="426"/>
      <c r="AN99" s="430"/>
      <c r="AO99" s="430"/>
      <c r="AP99" s="430"/>
      <c r="AQ99" s="428"/>
      <c r="AR99" s="428"/>
      <c r="AS99" s="428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5"/>
      <c r="N100" s="337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450"/>
      <c r="AA100" s="405"/>
      <c r="AC100" s="105"/>
      <c r="AE100" s="367"/>
      <c r="AF100" s="367"/>
      <c r="AG100" s="367"/>
      <c r="AH100" s="367"/>
      <c r="AI100" s="426"/>
      <c r="AN100" s="430"/>
      <c r="AO100" s="430"/>
      <c r="AP100" s="430"/>
      <c r="AQ100" s="428"/>
      <c r="AR100" s="428"/>
      <c r="AS100" s="428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5"/>
      <c r="N101" s="337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450"/>
      <c r="AA101" s="405"/>
      <c r="AC101" s="105"/>
      <c r="AE101" s="367"/>
      <c r="AF101" s="367"/>
      <c r="AG101" s="367"/>
      <c r="AH101" s="367"/>
      <c r="AI101" s="426"/>
      <c r="AN101" s="430"/>
      <c r="AO101" s="430"/>
      <c r="AP101" s="430"/>
      <c r="AQ101" s="428"/>
      <c r="AR101" s="428"/>
      <c r="AS101" s="428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5"/>
      <c r="N102" s="337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450"/>
      <c r="AA102" s="405"/>
      <c r="AC102" s="105"/>
      <c r="AE102" s="367"/>
      <c r="AF102" s="367"/>
      <c r="AG102" s="367"/>
      <c r="AH102" s="367"/>
      <c r="AI102" s="426"/>
      <c r="AN102" s="430"/>
      <c r="AO102" s="430"/>
      <c r="AP102" s="430"/>
      <c r="AQ102" s="428"/>
      <c r="AR102" s="428"/>
      <c r="AS102" s="428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5"/>
      <c r="N103" s="337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450"/>
      <c r="AA103" s="405"/>
      <c r="AC103" s="105"/>
      <c r="AE103" s="367"/>
      <c r="AF103" s="367"/>
      <c r="AG103" s="367"/>
      <c r="AH103" s="367"/>
      <c r="AI103" s="426"/>
      <c r="AN103" s="430"/>
      <c r="AO103" s="430"/>
      <c r="AP103" s="430"/>
      <c r="AQ103" s="428"/>
      <c r="AR103" s="428"/>
      <c r="AS103" s="428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8"/>
      <c r="N104" s="408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450"/>
      <c r="AA104" s="406"/>
      <c r="AC104" s="217"/>
      <c r="AE104" s="367"/>
      <c r="AF104" s="367"/>
      <c r="AG104" s="367"/>
      <c r="AH104" s="367"/>
      <c r="AI104" s="425"/>
      <c r="AN104" s="430"/>
      <c r="AO104" s="430"/>
      <c r="AP104" s="430"/>
      <c r="AQ104" s="428"/>
      <c r="AR104" s="428"/>
      <c r="AS104" s="428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8"/>
      <c r="N105" s="408"/>
      <c r="AC105" s="216"/>
      <c r="AN105" s="430"/>
      <c r="AO105" s="430"/>
      <c r="AP105" s="430"/>
      <c r="AQ105" s="428"/>
      <c r="AR105" s="428"/>
      <c r="AS105" s="428"/>
      <c r="AT105" s="2"/>
    </row>
    <row r="106" spans="1:46" ht="13.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8"/>
      <c r="N106" s="408"/>
      <c r="AC106" s="216"/>
      <c r="AN106" s="430"/>
      <c r="AO106" s="430"/>
      <c r="AP106" s="430"/>
      <c r="AQ106" s="428"/>
      <c r="AR106" s="428"/>
      <c r="AS106" s="428"/>
      <c r="AT106" s="2"/>
    </row>
    <row r="107" spans="1:46" ht="13.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8"/>
      <c r="N107" s="408"/>
      <c r="AC107" s="216"/>
      <c r="AN107" s="430"/>
      <c r="AO107" s="430"/>
      <c r="AP107" s="430"/>
      <c r="AQ107" s="428"/>
      <c r="AR107" s="428"/>
      <c r="AS107" s="428"/>
      <c r="AT107" s="2"/>
    </row>
    <row r="108" spans="1:46" ht="13.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8"/>
      <c r="N108" s="408"/>
      <c r="AC108" s="216"/>
      <c r="AN108" s="430"/>
      <c r="AO108" s="430"/>
      <c r="AP108" s="430"/>
      <c r="AQ108" s="428"/>
      <c r="AR108" s="428"/>
      <c r="AS108" s="428"/>
      <c r="AT108" s="2"/>
    </row>
    <row r="109" spans="1:46" ht="13.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8"/>
      <c r="N109" s="408"/>
      <c r="AC109" s="216"/>
      <c r="AN109" s="430"/>
      <c r="AO109" s="430"/>
      <c r="AP109" s="430"/>
      <c r="AQ109" s="428"/>
      <c r="AR109" s="428"/>
      <c r="AS109" s="428"/>
      <c r="AT109" s="2"/>
    </row>
    <row r="110" spans="1:46" ht="13.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8"/>
      <c r="N110" s="408"/>
      <c r="AC110" s="216"/>
      <c r="AN110" s="430"/>
      <c r="AO110" s="430"/>
      <c r="AP110" s="430"/>
      <c r="AQ110" s="428"/>
      <c r="AR110" s="428"/>
      <c r="AS110" s="428"/>
      <c r="AT110" s="2"/>
    </row>
    <row r="111" spans="1:46" ht="13.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8"/>
      <c r="N111" s="408"/>
      <c r="AC111" s="216"/>
      <c r="AN111" s="430"/>
      <c r="AO111" s="430"/>
      <c r="AP111" s="430"/>
      <c r="AQ111" s="428"/>
      <c r="AR111" s="428"/>
      <c r="AS111" s="428"/>
      <c r="AT111" s="249"/>
    </row>
    <row r="112" spans="1:46" ht="13.5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8"/>
      <c r="N112" s="408"/>
      <c r="AC112" s="216"/>
      <c r="AN112" s="430"/>
      <c r="AO112" s="430"/>
      <c r="AP112" s="430"/>
      <c r="AQ112" s="428"/>
      <c r="AR112" s="428"/>
      <c r="AS112" s="428"/>
      <c r="AT112" s="249"/>
    </row>
    <row r="113" spans="1:46" ht="13.5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8"/>
      <c r="N113" s="408"/>
      <c r="AC113" s="216"/>
      <c r="AN113" s="430"/>
      <c r="AO113" s="430"/>
      <c r="AP113" s="430"/>
      <c r="AQ113" s="428"/>
      <c r="AR113" s="428"/>
      <c r="AS113" s="428"/>
      <c r="AT113" s="249"/>
    </row>
    <row r="114" spans="1:46" ht="13.5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8"/>
      <c r="N114" s="408"/>
      <c r="AC114" s="216"/>
      <c r="AN114" s="430"/>
      <c r="AO114" s="430"/>
      <c r="AP114" s="430"/>
      <c r="AQ114" s="428"/>
      <c r="AR114" s="428"/>
      <c r="AS114" s="428"/>
      <c r="AT114" s="249"/>
    </row>
    <row r="115" spans="1:46" ht="13.5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8"/>
      <c r="N115" s="408"/>
      <c r="AC115" s="216"/>
      <c r="AN115" s="430"/>
      <c r="AO115" s="430"/>
      <c r="AP115" s="430"/>
      <c r="AQ115" s="428"/>
      <c r="AR115" s="428"/>
      <c r="AS115" s="428"/>
      <c r="AT115" s="249"/>
    </row>
    <row r="116" spans="1:46" ht="13.5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8"/>
      <c r="N116" s="408"/>
      <c r="AC116" s="216"/>
      <c r="AN116" s="430"/>
      <c r="AO116" s="430"/>
      <c r="AP116" s="430"/>
      <c r="AQ116" s="428"/>
      <c r="AR116" s="428"/>
      <c r="AS116" s="428"/>
      <c r="AT116" s="249"/>
    </row>
    <row r="117" spans="1:46" ht="13.5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8"/>
      <c r="N117" s="408"/>
      <c r="AC117" s="216"/>
      <c r="AN117" s="430"/>
      <c r="AO117" s="430"/>
      <c r="AP117" s="430"/>
      <c r="AQ117" s="428"/>
      <c r="AR117" s="428"/>
      <c r="AS117" s="428"/>
      <c r="AT117" s="249"/>
    </row>
    <row r="118" spans="1:46" ht="13.5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8"/>
      <c r="N118" s="408"/>
      <c r="AC118" s="216"/>
      <c r="AN118" s="430"/>
      <c r="AO118" s="430"/>
      <c r="AP118" s="430"/>
      <c r="AQ118" s="428"/>
      <c r="AR118" s="428"/>
      <c r="AS118" s="428"/>
      <c r="AT118" s="249"/>
    </row>
    <row r="119" spans="1:46" ht="13.5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8"/>
      <c r="N119" s="408"/>
      <c r="AC119" s="216"/>
      <c r="AN119" s="430"/>
      <c r="AO119" s="430"/>
      <c r="AP119" s="430"/>
      <c r="AQ119" s="428"/>
      <c r="AR119" s="428"/>
      <c r="AS119" s="428"/>
      <c r="AT119" s="249"/>
    </row>
    <row r="120" spans="1:46" ht="13.5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8"/>
      <c r="N120" s="408"/>
      <c r="AC120" s="216"/>
      <c r="AN120" s="430"/>
      <c r="AO120" s="430"/>
      <c r="AP120" s="430"/>
      <c r="AQ120" s="428"/>
      <c r="AR120" s="428"/>
      <c r="AS120" s="428"/>
      <c r="AT120" s="249"/>
    </row>
    <row r="121" spans="1:46" ht="13.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8"/>
      <c r="N121" s="408"/>
      <c r="AC121" s="216"/>
      <c r="AN121" s="430"/>
      <c r="AO121" s="430"/>
      <c r="AP121" s="430"/>
      <c r="AQ121" s="428"/>
      <c r="AR121" s="428"/>
      <c r="AS121" s="428"/>
      <c r="AT121" s="249"/>
    </row>
    <row r="122" spans="1:46" ht="13.5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8"/>
      <c r="N122" s="408"/>
      <c r="AC122" s="216"/>
      <c r="AN122" s="430"/>
      <c r="AO122" s="430"/>
      <c r="AP122" s="430"/>
      <c r="AQ122" s="428"/>
      <c r="AR122" s="428"/>
      <c r="AS122" s="428"/>
      <c r="AT122" s="249"/>
    </row>
    <row r="123" spans="1:46" ht="13.5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8"/>
      <c r="N123" s="408"/>
      <c r="AC123" s="216"/>
      <c r="AN123" s="430"/>
      <c r="AO123" s="430"/>
      <c r="AP123" s="430"/>
      <c r="AQ123" s="428"/>
      <c r="AR123" s="428"/>
      <c r="AS123" s="428"/>
      <c r="AT123" s="249"/>
    </row>
    <row r="124" spans="1:46" ht="13.5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8"/>
      <c r="N124" s="408"/>
      <c r="AC124" s="216"/>
      <c r="AN124" s="430"/>
      <c r="AO124" s="430"/>
      <c r="AP124" s="430"/>
      <c r="AQ124" s="428"/>
      <c r="AR124" s="428"/>
      <c r="AS124" s="428"/>
      <c r="AT124" s="249"/>
    </row>
    <row r="125" spans="1:46" ht="13.5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8"/>
      <c r="N125" s="408"/>
      <c r="AC125" s="216"/>
      <c r="AN125" s="430"/>
      <c r="AO125" s="430"/>
      <c r="AP125" s="430"/>
      <c r="AQ125" s="428"/>
      <c r="AR125" s="428"/>
      <c r="AS125" s="428"/>
      <c r="AT125" s="249"/>
    </row>
    <row r="126" spans="1:46" ht="13.5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8"/>
      <c r="N126" s="408"/>
      <c r="AC126" s="216"/>
      <c r="AN126" s="430"/>
      <c r="AO126" s="430"/>
      <c r="AP126" s="430"/>
      <c r="AQ126" s="428"/>
      <c r="AR126" s="428"/>
      <c r="AS126" s="428"/>
      <c r="AT126" s="249"/>
    </row>
    <row r="127" spans="1:46" ht="13.5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8"/>
      <c r="N127" s="408"/>
      <c r="AC127" s="216"/>
      <c r="AN127" s="430"/>
      <c r="AO127" s="430"/>
      <c r="AP127" s="430"/>
      <c r="AQ127" s="428"/>
      <c r="AR127" s="428"/>
      <c r="AS127" s="428"/>
      <c r="AT127" s="249"/>
    </row>
    <row r="128" spans="1:46" ht="13.5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8"/>
      <c r="N128" s="408"/>
      <c r="AC128" s="216"/>
      <c r="AN128" s="430"/>
      <c r="AO128" s="430"/>
      <c r="AP128" s="430"/>
      <c r="AQ128" s="428"/>
      <c r="AR128" s="428"/>
      <c r="AS128" s="428"/>
      <c r="AT128" s="249"/>
    </row>
    <row r="129" spans="1:46" ht="13.5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8"/>
      <c r="N129" s="408"/>
      <c r="AC129" s="216"/>
      <c r="AN129" s="430"/>
      <c r="AO129" s="430"/>
      <c r="AP129" s="430"/>
      <c r="AQ129" s="428"/>
      <c r="AR129" s="428"/>
      <c r="AS129" s="428"/>
      <c r="AT129" s="249"/>
    </row>
    <row r="130" spans="1:46" ht="13.5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8"/>
      <c r="N130" s="408"/>
      <c r="AC130" s="216"/>
      <c r="AN130" s="430"/>
      <c r="AO130" s="430"/>
      <c r="AP130" s="430"/>
      <c r="AQ130" s="428"/>
      <c r="AR130" s="428"/>
      <c r="AS130" s="428"/>
      <c r="AT130" s="249"/>
    </row>
    <row r="131" spans="1:46" ht="13.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AC131" s="216"/>
      <c r="AN131" s="430"/>
      <c r="AO131" s="430"/>
      <c r="AP131" s="430"/>
      <c r="AQ131" s="428"/>
      <c r="AR131" s="428"/>
      <c r="AS131" s="428"/>
      <c r="AT131" s="249"/>
    </row>
    <row r="132" spans="1:46" ht="13.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AC132" s="216"/>
      <c r="AN132" s="430"/>
      <c r="AO132" s="430"/>
      <c r="AP132" s="430"/>
      <c r="AQ132" s="428"/>
      <c r="AR132" s="428"/>
      <c r="AS132" s="428"/>
      <c r="AT132" s="249"/>
    </row>
    <row r="133" spans="1:46" ht="13.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AC133" s="216"/>
      <c r="AN133" s="430"/>
      <c r="AO133" s="430"/>
      <c r="AP133" s="430"/>
      <c r="AQ133" s="428"/>
      <c r="AR133" s="428"/>
      <c r="AS133" s="428"/>
      <c r="AT133" s="249"/>
    </row>
    <row r="134" spans="1:46" ht="13.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AC134" s="216"/>
      <c r="AN134" s="430"/>
      <c r="AO134" s="430"/>
      <c r="AP134" s="430"/>
      <c r="AQ134" s="428"/>
      <c r="AR134" s="428"/>
      <c r="AS134" s="428"/>
      <c r="AT134" s="249"/>
    </row>
    <row r="135" spans="1:46" ht="13.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AC135" s="216"/>
      <c r="AN135" s="430"/>
      <c r="AO135" s="430"/>
      <c r="AP135" s="430"/>
      <c r="AQ135" s="428"/>
      <c r="AR135" s="428"/>
      <c r="AS135" s="428"/>
      <c r="AT135" s="249"/>
    </row>
    <row r="136" spans="1:46" ht="13.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AC136" s="216"/>
      <c r="AN136" s="430"/>
      <c r="AO136" s="430"/>
      <c r="AP136" s="430"/>
      <c r="AQ136" s="428"/>
      <c r="AR136" s="428"/>
      <c r="AS136" s="428"/>
      <c r="AT136" s="249"/>
    </row>
    <row r="137" spans="1:46" ht="13.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AC137" s="216"/>
      <c r="AN137" s="430"/>
      <c r="AO137" s="430"/>
      <c r="AP137" s="430"/>
      <c r="AQ137" s="428"/>
      <c r="AR137" s="428"/>
      <c r="AS137" s="428"/>
      <c r="AT137" s="249"/>
    </row>
    <row r="138" spans="1:46" ht="13.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AC138" s="216"/>
      <c r="AN138" s="430"/>
      <c r="AO138" s="430"/>
      <c r="AP138" s="430"/>
      <c r="AQ138" s="428"/>
      <c r="AR138" s="428"/>
      <c r="AS138" s="428"/>
      <c r="AT138" s="249"/>
    </row>
    <row r="139" spans="1:46" ht="13.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AC139" s="216"/>
      <c r="AN139" s="430"/>
      <c r="AO139" s="430"/>
      <c r="AP139" s="430"/>
      <c r="AQ139" s="428"/>
      <c r="AR139" s="428"/>
      <c r="AS139" s="428"/>
      <c r="AT139" s="249"/>
    </row>
    <row r="140" spans="1:46" ht="13.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AC140" s="216"/>
      <c r="AN140" s="430"/>
      <c r="AO140" s="430"/>
      <c r="AP140" s="430"/>
      <c r="AQ140" s="428"/>
      <c r="AR140" s="428"/>
      <c r="AS140" s="428"/>
      <c r="AT140" s="249"/>
    </row>
    <row r="141" spans="1:46" ht="13.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AC141" s="216"/>
      <c r="AN141" s="430"/>
      <c r="AO141" s="430"/>
      <c r="AP141" s="430"/>
      <c r="AQ141" s="428"/>
      <c r="AR141" s="428"/>
      <c r="AS141" s="428"/>
      <c r="AT141" s="249"/>
    </row>
    <row r="142" spans="1:46" ht="13.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AC142" s="216"/>
      <c r="AN142" s="430"/>
      <c r="AO142" s="430"/>
      <c r="AP142" s="430"/>
      <c r="AQ142" s="428"/>
      <c r="AR142" s="428"/>
      <c r="AS142" s="428"/>
      <c r="AT142" s="249"/>
    </row>
    <row r="143" spans="1:46" ht="13.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AC143" s="216"/>
      <c r="AN143" s="430"/>
      <c r="AO143" s="430"/>
      <c r="AP143" s="430"/>
      <c r="AQ143" s="428"/>
      <c r="AR143" s="428"/>
      <c r="AS143" s="428"/>
      <c r="AT143" s="249"/>
    </row>
    <row r="144" spans="1:46" ht="13.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AC144" s="216"/>
      <c r="AN144" s="430"/>
      <c r="AO144" s="430"/>
      <c r="AP144" s="430"/>
      <c r="AQ144" s="428"/>
      <c r="AR144" s="428"/>
      <c r="AS144" s="428"/>
      <c r="AT144" s="249"/>
    </row>
    <row r="145" spans="1:46" ht="13.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AC145" s="216"/>
      <c r="AN145" s="430"/>
      <c r="AO145" s="430"/>
      <c r="AP145" s="430"/>
      <c r="AQ145" s="428"/>
      <c r="AR145" s="428"/>
      <c r="AS145" s="428"/>
      <c r="AT145" s="249"/>
    </row>
    <row r="146" spans="1:46" ht="13.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AC146" s="216"/>
      <c r="AN146" s="430"/>
      <c r="AO146" s="430"/>
      <c r="AP146" s="430"/>
      <c r="AQ146" s="428"/>
      <c r="AR146" s="428"/>
      <c r="AS146" s="428"/>
      <c r="AT146" s="249"/>
    </row>
    <row r="147" spans="1:46" ht="13.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AC147" s="216"/>
      <c r="AN147" s="430"/>
      <c r="AO147" s="430"/>
      <c r="AP147" s="430"/>
      <c r="AQ147" s="428"/>
      <c r="AR147" s="428"/>
      <c r="AS147" s="428"/>
      <c r="AT147" s="249"/>
    </row>
    <row r="148" spans="1:46" ht="13.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AC148" s="216"/>
      <c r="AN148" s="430"/>
      <c r="AO148" s="430"/>
      <c r="AP148" s="430"/>
      <c r="AQ148" s="428"/>
      <c r="AR148" s="428"/>
      <c r="AS148" s="428"/>
      <c r="AT148" s="249"/>
    </row>
    <row r="149" spans="1:46" ht="13.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AC149" s="216"/>
      <c r="AN149" s="430"/>
      <c r="AO149" s="430"/>
      <c r="AP149" s="430"/>
      <c r="AQ149" s="428"/>
      <c r="AR149" s="428"/>
      <c r="AS149" s="428"/>
      <c r="AT149" s="249"/>
    </row>
    <row r="150" spans="1:46" ht="13.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AC150" s="216"/>
      <c r="AN150" s="430"/>
      <c r="AO150" s="430"/>
      <c r="AP150" s="430"/>
      <c r="AQ150" s="428"/>
      <c r="AR150" s="428"/>
      <c r="AS150" s="428"/>
      <c r="AT150" s="249"/>
    </row>
    <row r="151" spans="1:46" ht="13.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AC151" s="216"/>
      <c r="AN151" s="430"/>
      <c r="AO151" s="430"/>
      <c r="AP151" s="430"/>
      <c r="AQ151" s="428"/>
      <c r="AR151" s="428"/>
      <c r="AS151" s="428"/>
      <c r="AT151" s="249"/>
    </row>
    <row r="152" spans="1:46" ht="13.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AC152" s="216"/>
      <c r="AN152" s="430"/>
      <c r="AO152" s="430"/>
      <c r="AP152" s="430"/>
      <c r="AQ152" s="428"/>
      <c r="AR152" s="428"/>
      <c r="AS152" s="428"/>
      <c r="AT152" s="249"/>
    </row>
    <row r="153" spans="1:46" ht="13.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AC153" s="216"/>
      <c r="AN153" s="430"/>
      <c r="AO153" s="430"/>
      <c r="AP153" s="430"/>
      <c r="AQ153" s="428"/>
      <c r="AR153" s="428"/>
      <c r="AS153" s="428"/>
      <c r="AT153" s="249"/>
    </row>
    <row r="154" spans="1:46" ht="13.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AC154" s="216"/>
      <c r="AN154" s="430"/>
      <c r="AO154" s="430"/>
      <c r="AP154" s="430"/>
      <c r="AQ154" s="428"/>
      <c r="AR154" s="428"/>
      <c r="AS154" s="428"/>
      <c r="AT154" s="249"/>
    </row>
    <row r="155" spans="1:46" ht="13.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AC155" s="216"/>
      <c r="AN155" s="430"/>
      <c r="AO155" s="430"/>
      <c r="AP155" s="430"/>
      <c r="AQ155" s="428"/>
      <c r="AR155" s="428"/>
      <c r="AS155" s="428"/>
      <c r="AT155" s="249"/>
    </row>
    <row r="156" spans="1:46" ht="13.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AC156" s="216"/>
      <c r="AN156" s="430"/>
      <c r="AO156" s="430"/>
      <c r="AP156" s="430"/>
      <c r="AQ156" s="428"/>
      <c r="AR156" s="428"/>
      <c r="AS156" s="428"/>
      <c r="AT156" s="249"/>
    </row>
    <row r="157" spans="1:46" ht="13.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AC157" s="216"/>
      <c r="AN157" s="430"/>
      <c r="AO157" s="430"/>
      <c r="AP157" s="430"/>
      <c r="AQ157" s="428"/>
      <c r="AR157" s="428"/>
      <c r="AS157" s="428"/>
      <c r="AT157" s="249"/>
    </row>
    <row r="158" spans="1:46" ht="13.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AC158" s="216"/>
      <c r="AN158" s="430"/>
      <c r="AO158" s="430"/>
      <c r="AP158" s="430"/>
      <c r="AQ158" s="428"/>
      <c r="AR158" s="428"/>
      <c r="AS158" s="428"/>
      <c r="AT158" s="249"/>
    </row>
    <row r="159" spans="1:46" ht="13.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AC159" s="216"/>
      <c r="AN159" s="430"/>
      <c r="AO159" s="430"/>
      <c r="AP159" s="430"/>
      <c r="AQ159" s="428"/>
      <c r="AR159" s="428"/>
      <c r="AS159" s="428"/>
      <c r="AT159" s="249"/>
    </row>
    <row r="160" spans="1:46" ht="13.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AC160" s="216"/>
      <c r="AN160" s="430"/>
      <c r="AO160" s="430"/>
      <c r="AP160" s="430"/>
      <c r="AQ160" s="428"/>
      <c r="AR160" s="428"/>
      <c r="AS160" s="428"/>
      <c r="AT160" s="249"/>
    </row>
    <row r="161" spans="1:46" ht="13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AC161" s="216"/>
      <c r="AN161" s="430"/>
      <c r="AO161" s="430"/>
      <c r="AP161" s="430"/>
      <c r="AQ161" s="428"/>
      <c r="AR161" s="428"/>
      <c r="AS161" s="428"/>
      <c r="AT161" s="249"/>
    </row>
    <row r="162" spans="1:46" ht="13.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AC162" s="216"/>
      <c r="AN162" s="430"/>
      <c r="AO162" s="430"/>
      <c r="AP162" s="430"/>
      <c r="AQ162" s="428"/>
      <c r="AR162" s="428"/>
      <c r="AS162" s="428"/>
      <c r="AT162" s="249"/>
    </row>
    <row r="163" spans="1:46" ht="13.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AC163" s="216"/>
      <c r="AN163" s="430"/>
      <c r="AO163" s="430"/>
      <c r="AP163" s="430"/>
      <c r="AQ163" s="428"/>
      <c r="AR163" s="428"/>
      <c r="AS163" s="428"/>
      <c r="AT163" s="249"/>
    </row>
    <row r="164" spans="1:46" ht="13.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AC164" s="216"/>
      <c r="AN164" s="430"/>
      <c r="AO164" s="430"/>
      <c r="AP164" s="430"/>
      <c r="AQ164" s="428"/>
      <c r="AR164" s="428"/>
      <c r="AS164" s="428"/>
      <c r="AT164" s="249"/>
    </row>
    <row r="165" spans="1:46" ht="13.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AC165" s="216"/>
      <c r="AN165" s="430"/>
      <c r="AO165" s="430"/>
      <c r="AP165" s="430"/>
      <c r="AQ165" s="428"/>
      <c r="AR165" s="428"/>
      <c r="AS165" s="428"/>
      <c r="AT165" s="249"/>
    </row>
    <row r="166" spans="1:46" ht="13.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AC166" s="216"/>
      <c r="AN166" s="430"/>
      <c r="AO166" s="430"/>
      <c r="AP166" s="430"/>
      <c r="AQ166" s="428"/>
      <c r="AR166" s="428"/>
      <c r="AS166" s="428"/>
      <c r="AT166" s="249"/>
    </row>
    <row r="167" spans="1:46" ht="13.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AC167" s="216"/>
      <c r="AN167" s="430"/>
      <c r="AO167" s="430"/>
      <c r="AP167" s="430"/>
      <c r="AQ167" s="428"/>
      <c r="AR167" s="428"/>
      <c r="AS167" s="428"/>
      <c r="AT167" s="249"/>
    </row>
    <row r="168" spans="1:46" ht="13.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AC168" s="216"/>
      <c r="AN168" s="430"/>
      <c r="AO168" s="430"/>
      <c r="AP168" s="430"/>
      <c r="AQ168" s="428"/>
      <c r="AR168" s="428"/>
      <c r="AS168" s="428"/>
      <c r="AT168" s="249"/>
    </row>
    <row r="169" spans="1:46" ht="13.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AC169" s="216"/>
      <c r="AN169" s="430"/>
      <c r="AO169" s="430"/>
      <c r="AP169" s="430"/>
      <c r="AQ169" s="428"/>
      <c r="AR169" s="428"/>
      <c r="AS169" s="428"/>
      <c r="AT169" s="249"/>
    </row>
    <row r="170" spans="1:46" ht="13.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AC170" s="216"/>
      <c r="AN170" s="430"/>
      <c r="AO170" s="430"/>
      <c r="AP170" s="430"/>
      <c r="AQ170" s="428"/>
      <c r="AR170" s="428"/>
      <c r="AS170" s="428"/>
      <c r="AT170" s="249"/>
    </row>
    <row r="171" spans="1:46" ht="13.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AC171" s="216"/>
      <c r="AN171" s="430"/>
      <c r="AO171" s="430"/>
      <c r="AP171" s="430"/>
      <c r="AQ171" s="428"/>
      <c r="AR171" s="428"/>
      <c r="AS171" s="428"/>
      <c r="AT171" s="249"/>
    </row>
    <row r="172" spans="1:46" ht="13.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AC172" s="216"/>
      <c r="AN172" s="430"/>
      <c r="AO172" s="430"/>
      <c r="AP172" s="430"/>
      <c r="AQ172" s="428"/>
      <c r="AR172" s="428"/>
      <c r="AS172" s="428"/>
      <c r="AT172" s="249"/>
    </row>
    <row r="173" spans="1:46" ht="13.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AC173" s="216"/>
      <c r="AN173" s="430"/>
      <c r="AO173" s="430"/>
      <c r="AP173" s="430"/>
      <c r="AQ173" s="428"/>
      <c r="AR173" s="428"/>
      <c r="AS173" s="428"/>
      <c r="AT173" s="249"/>
    </row>
    <row r="174" spans="1:46" ht="13.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AC174" s="216"/>
      <c r="AN174" s="430"/>
      <c r="AO174" s="430"/>
      <c r="AP174" s="430"/>
      <c r="AQ174" s="428"/>
      <c r="AR174" s="428"/>
      <c r="AS174" s="428"/>
      <c r="AT174" s="249"/>
    </row>
    <row r="175" spans="1:46" ht="13.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AC175" s="216"/>
      <c r="AN175" s="430"/>
      <c r="AO175" s="430"/>
      <c r="AP175" s="430"/>
      <c r="AQ175" s="428"/>
      <c r="AR175" s="428"/>
      <c r="AS175" s="428"/>
      <c r="AT175" s="249"/>
    </row>
    <row r="176" spans="1:46" ht="13.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AC176" s="216"/>
      <c r="AN176" s="430"/>
      <c r="AO176" s="430"/>
      <c r="AP176" s="430"/>
      <c r="AQ176" s="428"/>
      <c r="AR176" s="428"/>
      <c r="AS176" s="428"/>
      <c r="AT176" s="249"/>
    </row>
    <row r="177" spans="1:46" ht="13.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AC177" s="216"/>
      <c r="AN177" s="430"/>
      <c r="AO177" s="430"/>
      <c r="AP177" s="430"/>
      <c r="AQ177" s="428"/>
      <c r="AR177" s="428"/>
      <c r="AS177" s="428"/>
      <c r="AT177" s="249"/>
    </row>
    <row r="178" spans="1:46" ht="13.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AC178" s="216"/>
      <c r="AN178" s="430"/>
      <c r="AO178" s="430"/>
      <c r="AP178" s="430"/>
      <c r="AQ178" s="428"/>
      <c r="AR178" s="428"/>
      <c r="AS178" s="428"/>
      <c r="AT178" s="249"/>
    </row>
    <row r="179" spans="1:46" ht="13.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AC179" s="216"/>
      <c r="AN179" s="430"/>
      <c r="AO179" s="430"/>
      <c r="AP179" s="430"/>
      <c r="AQ179" s="428"/>
      <c r="AR179" s="428"/>
      <c r="AS179" s="428"/>
      <c r="AT179" s="249"/>
    </row>
    <row r="180" spans="1:46" ht="13.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AC180" s="216"/>
      <c r="AN180" s="430"/>
      <c r="AO180" s="430"/>
      <c r="AP180" s="430"/>
      <c r="AQ180" s="428"/>
      <c r="AR180" s="428"/>
      <c r="AS180" s="428"/>
      <c r="AT180" s="249"/>
    </row>
    <row r="181" spans="1:46" ht="13.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AC181" s="216"/>
      <c r="AN181" s="430"/>
      <c r="AO181" s="430"/>
      <c r="AP181" s="430"/>
      <c r="AQ181" s="428"/>
      <c r="AR181" s="428"/>
      <c r="AS181" s="428"/>
      <c r="AT181" s="249"/>
    </row>
    <row r="182" spans="1:46" ht="13.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AC182" s="216"/>
      <c r="AN182" s="430"/>
      <c r="AO182" s="430"/>
      <c r="AP182" s="430"/>
      <c r="AQ182" s="428"/>
      <c r="AR182" s="428"/>
      <c r="AS182" s="428"/>
      <c r="AT182" s="249"/>
    </row>
    <row r="183" spans="1:46" ht="13.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AC183" s="216"/>
      <c r="AN183" s="430"/>
      <c r="AO183" s="430"/>
      <c r="AP183" s="430"/>
      <c r="AQ183" s="428"/>
      <c r="AR183" s="428"/>
      <c r="AS183" s="428"/>
      <c r="AT183" s="249"/>
    </row>
    <row r="184" spans="1:46" ht="13.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AC184" s="216"/>
      <c r="AN184" s="430"/>
      <c r="AO184" s="430"/>
      <c r="AP184" s="430"/>
      <c r="AQ184" s="428"/>
      <c r="AR184" s="428"/>
      <c r="AS184" s="428"/>
      <c r="AT184" s="249"/>
    </row>
    <row r="185" spans="1:46" ht="13.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AC185" s="216"/>
      <c r="AN185" s="430"/>
      <c r="AO185" s="430"/>
      <c r="AP185" s="430"/>
      <c r="AQ185" s="428"/>
      <c r="AR185" s="428"/>
      <c r="AS185" s="428"/>
      <c r="AT185" s="249"/>
    </row>
    <row r="186" spans="1:46" ht="13.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AC186" s="216"/>
      <c r="AN186" s="430"/>
      <c r="AO186" s="430"/>
      <c r="AP186" s="430"/>
      <c r="AQ186" s="428"/>
      <c r="AR186" s="428"/>
      <c r="AS186" s="428"/>
      <c r="AT186" s="249"/>
    </row>
    <row r="187" spans="1:46" ht="13.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AC187" s="216"/>
      <c r="AN187" s="430"/>
      <c r="AO187" s="430"/>
      <c r="AP187" s="430"/>
      <c r="AQ187" s="428"/>
      <c r="AR187" s="428"/>
      <c r="AS187" s="428"/>
      <c r="AT187" s="249"/>
    </row>
    <row r="188" spans="1:46" ht="13.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AC188" s="216"/>
      <c r="AN188" s="430"/>
      <c r="AO188" s="430"/>
      <c r="AP188" s="430"/>
      <c r="AQ188" s="428"/>
      <c r="AR188" s="428"/>
      <c r="AS188" s="428"/>
      <c r="AT188" s="249"/>
    </row>
    <row r="189" spans="1:46" ht="13.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AC189" s="216"/>
      <c r="AN189" s="430"/>
      <c r="AO189" s="430"/>
      <c r="AP189" s="430"/>
      <c r="AQ189" s="428"/>
      <c r="AR189" s="428"/>
      <c r="AS189" s="428"/>
      <c r="AT189" s="249"/>
    </row>
    <row r="190" spans="1:46" ht="13.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AC190" s="216"/>
      <c r="AN190" s="430"/>
      <c r="AO190" s="430"/>
      <c r="AP190" s="430"/>
      <c r="AQ190" s="428"/>
      <c r="AR190" s="428"/>
      <c r="AS190" s="428"/>
      <c r="AT190" s="249"/>
    </row>
    <row r="191" spans="1:46" ht="13.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AC191" s="216"/>
      <c r="AN191" s="430"/>
      <c r="AO191" s="430"/>
      <c r="AP191" s="430"/>
      <c r="AQ191" s="428"/>
      <c r="AR191" s="428"/>
      <c r="AS191" s="428"/>
      <c r="AT191" s="249"/>
    </row>
    <row r="192" spans="1:46" ht="13.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AC192" s="216"/>
      <c r="AN192" s="430"/>
      <c r="AO192" s="430"/>
      <c r="AP192" s="430"/>
      <c r="AQ192" s="428"/>
      <c r="AR192" s="428"/>
      <c r="AS192" s="428"/>
      <c r="AT192" s="249"/>
    </row>
    <row r="193" spans="1:46" ht="13.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AC193" s="216"/>
      <c r="AN193" s="430"/>
      <c r="AO193" s="430"/>
      <c r="AP193" s="430"/>
      <c r="AQ193" s="428"/>
      <c r="AR193" s="428"/>
      <c r="AS193" s="428"/>
      <c r="AT193" s="249"/>
    </row>
    <row r="194" spans="1:46" ht="13.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AC194" s="216"/>
      <c r="AN194" s="430"/>
      <c r="AO194" s="430"/>
      <c r="AP194" s="430"/>
      <c r="AQ194" s="428"/>
      <c r="AR194" s="428"/>
      <c r="AS194" s="428"/>
      <c r="AT194" s="249"/>
    </row>
    <row r="195" spans="1:46" ht="13.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AC195" s="216"/>
      <c r="AN195" s="430"/>
      <c r="AO195" s="430"/>
      <c r="AP195" s="430"/>
      <c r="AQ195" s="428"/>
      <c r="AR195" s="428"/>
      <c r="AS195" s="428"/>
      <c r="AT195" s="249"/>
    </row>
    <row r="196" spans="1:46" ht="13.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AC196" s="216"/>
      <c r="AN196" s="430"/>
      <c r="AO196" s="430"/>
      <c r="AP196" s="430"/>
      <c r="AQ196" s="428"/>
      <c r="AR196" s="428"/>
      <c r="AS196" s="428"/>
      <c r="AT196" s="249"/>
    </row>
    <row r="197" spans="1:46" ht="13.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AC197" s="216"/>
      <c r="AN197" s="430"/>
      <c r="AO197" s="430"/>
      <c r="AP197" s="430"/>
      <c r="AQ197" s="428"/>
      <c r="AR197" s="428"/>
      <c r="AS197" s="428"/>
      <c r="AT197" s="249"/>
    </row>
    <row r="198" spans="1:46" ht="13.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AC198" s="216"/>
      <c r="AN198" s="430"/>
      <c r="AO198" s="430"/>
      <c r="AP198" s="430"/>
      <c r="AQ198" s="428"/>
      <c r="AR198" s="428"/>
      <c r="AS198" s="428"/>
      <c r="AT198" s="249"/>
    </row>
    <row r="199" spans="1:46" ht="13.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AC199" s="216"/>
      <c r="AN199" s="430"/>
      <c r="AO199" s="430"/>
      <c r="AP199" s="430"/>
      <c r="AQ199" s="428"/>
      <c r="AR199" s="428"/>
      <c r="AS199" s="428"/>
      <c r="AT199" s="249"/>
    </row>
    <row r="200" spans="1:46" ht="13.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AC200" s="216"/>
      <c r="AN200" s="430"/>
      <c r="AO200" s="430"/>
      <c r="AP200" s="430"/>
      <c r="AQ200" s="428"/>
      <c r="AR200" s="428"/>
      <c r="AS200" s="428"/>
      <c r="AT200" s="249"/>
    </row>
    <row r="201" spans="1:46" ht="13.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AC201" s="216"/>
      <c r="AN201" s="430"/>
      <c r="AO201" s="430"/>
      <c r="AP201" s="430"/>
      <c r="AQ201" s="428"/>
      <c r="AR201" s="428"/>
      <c r="AS201" s="428"/>
      <c r="AT201" s="249"/>
    </row>
    <row r="202" spans="1:46" ht="13.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AC202" s="216"/>
      <c r="AN202" s="430"/>
      <c r="AO202" s="430"/>
      <c r="AP202" s="430"/>
      <c r="AQ202" s="428"/>
      <c r="AR202" s="428"/>
      <c r="AS202" s="428"/>
      <c r="AT202" s="249"/>
    </row>
    <row r="203" spans="1:46" ht="13.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AC203" s="216"/>
      <c r="AN203" s="430"/>
      <c r="AO203" s="430"/>
      <c r="AP203" s="430"/>
      <c r="AQ203" s="428"/>
      <c r="AR203" s="428"/>
      <c r="AS203" s="428"/>
      <c r="AT203" s="249"/>
    </row>
    <row r="204" spans="1:46" ht="13.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AC204" s="216"/>
      <c r="AN204" s="430"/>
      <c r="AO204" s="430"/>
      <c r="AP204" s="430"/>
      <c r="AQ204" s="428"/>
      <c r="AR204" s="428"/>
      <c r="AS204" s="428"/>
      <c r="AT204" s="249"/>
    </row>
    <row r="205" spans="1:46" ht="13.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AC205" s="216"/>
      <c r="AN205" s="430"/>
      <c r="AO205" s="430"/>
      <c r="AP205" s="430"/>
      <c r="AQ205" s="428"/>
      <c r="AR205" s="428"/>
      <c r="AS205" s="428"/>
      <c r="AT205" s="249"/>
    </row>
    <row r="206" spans="1:46" ht="13.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AC206" s="216"/>
      <c r="AN206" s="430"/>
      <c r="AO206" s="430"/>
      <c r="AP206" s="430"/>
      <c r="AQ206" s="428"/>
      <c r="AR206" s="428"/>
      <c r="AS206" s="428"/>
      <c r="AT206" s="249"/>
    </row>
    <row r="207" spans="1:46" ht="13.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AC207" s="216"/>
      <c r="AN207" s="430"/>
      <c r="AO207" s="430"/>
      <c r="AP207" s="430"/>
      <c r="AQ207" s="428"/>
      <c r="AR207" s="428"/>
      <c r="AS207" s="428"/>
      <c r="AT207" s="249"/>
    </row>
    <row r="208" spans="1:46" ht="13.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AC208" s="216"/>
      <c r="AN208" s="430"/>
      <c r="AO208" s="430"/>
      <c r="AP208" s="430"/>
      <c r="AQ208" s="428"/>
      <c r="AR208" s="428"/>
      <c r="AS208" s="428"/>
      <c r="AT208" s="249"/>
    </row>
    <row r="209" spans="1:46" ht="13.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AC209" s="216"/>
      <c r="AN209" s="430"/>
      <c r="AO209" s="430"/>
      <c r="AP209" s="430"/>
      <c r="AQ209" s="428"/>
      <c r="AR209" s="428"/>
      <c r="AS209" s="428"/>
      <c r="AT209" s="249"/>
    </row>
    <row r="210" spans="1:46" ht="13.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AC210" s="216"/>
      <c r="AN210" s="430"/>
      <c r="AO210" s="430"/>
      <c r="AP210" s="430"/>
      <c r="AQ210" s="428"/>
      <c r="AR210" s="428"/>
      <c r="AS210" s="428"/>
      <c r="AT210" s="249"/>
    </row>
    <row r="211" spans="1:46" ht="13.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AC211" s="216"/>
      <c r="AN211" s="430"/>
      <c r="AO211" s="430"/>
      <c r="AP211" s="430"/>
      <c r="AQ211" s="428"/>
      <c r="AR211" s="428"/>
      <c r="AS211" s="428"/>
      <c r="AT211" s="249"/>
    </row>
    <row r="212" spans="1:46" ht="13.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AC212" s="216"/>
      <c r="AN212" s="430"/>
      <c r="AO212" s="430"/>
      <c r="AP212" s="430"/>
      <c r="AQ212" s="428"/>
      <c r="AR212" s="428"/>
      <c r="AS212" s="428"/>
      <c r="AT212" s="249"/>
    </row>
    <row r="213" spans="1:46" ht="13.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AC213" s="216"/>
      <c r="AN213" s="430"/>
      <c r="AO213" s="430"/>
      <c r="AP213" s="430"/>
      <c r="AQ213" s="428"/>
      <c r="AR213" s="428"/>
      <c r="AS213" s="428"/>
      <c r="AT213" s="249"/>
    </row>
    <row r="214" spans="1:46" ht="13.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AC214" s="216"/>
      <c r="AN214" s="430"/>
      <c r="AO214" s="430"/>
      <c r="AP214" s="430"/>
      <c r="AQ214" s="428"/>
      <c r="AR214" s="428"/>
      <c r="AS214" s="428"/>
      <c r="AT214" s="249"/>
    </row>
    <row r="215" spans="1:46" ht="13.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AC215" s="216"/>
      <c r="AN215" s="430"/>
      <c r="AO215" s="430"/>
      <c r="AP215" s="430"/>
      <c r="AQ215" s="428"/>
      <c r="AR215" s="428"/>
      <c r="AS215" s="428"/>
      <c r="AT215" s="249"/>
    </row>
    <row r="216" spans="1:46" ht="13.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AC216" s="216"/>
      <c r="AN216" s="430"/>
      <c r="AO216" s="430"/>
      <c r="AP216" s="430"/>
      <c r="AQ216" s="428"/>
      <c r="AR216" s="428"/>
      <c r="AS216" s="428"/>
      <c r="AT216" s="249"/>
    </row>
    <row r="217" spans="1:46" ht="13.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AC217" s="216"/>
      <c r="AN217" s="430"/>
      <c r="AO217" s="430"/>
      <c r="AP217" s="430"/>
      <c r="AQ217" s="428"/>
      <c r="AR217" s="428"/>
      <c r="AS217" s="428"/>
      <c r="AT217" s="249"/>
    </row>
    <row r="218" spans="1:46" ht="13.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AC218" s="216"/>
      <c r="AN218" s="430"/>
      <c r="AO218" s="430"/>
      <c r="AP218" s="430"/>
      <c r="AQ218" s="428"/>
      <c r="AR218" s="428"/>
      <c r="AS218" s="428"/>
      <c r="AT218" s="249"/>
    </row>
    <row r="219" spans="1:46" ht="13.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AC219" s="216"/>
      <c r="AN219" s="430"/>
      <c r="AO219" s="430"/>
      <c r="AP219" s="430"/>
      <c r="AQ219" s="428"/>
      <c r="AR219" s="428"/>
      <c r="AS219" s="428"/>
      <c r="AT219" s="249"/>
    </row>
    <row r="220" spans="1:46" ht="13.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AC220" s="216"/>
      <c r="AN220" s="430"/>
      <c r="AO220" s="430"/>
      <c r="AP220" s="430"/>
      <c r="AQ220" s="428"/>
      <c r="AR220" s="428"/>
      <c r="AS220" s="428"/>
      <c r="AT220" s="249"/>
    </row>
    <row r="221" spans="1:46" ht="13.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AC221" s="216"/>
      <c r="AN221" s="430"/>
      <c r="AO221" s="430"/>
      <c r="AP221" s="430"/>
      <c r="AQ221" s="428"/>
      <c r="AR221" s="428"/>
      <c r="AS221" s="428"/>
      <c r="AT221" s="249"/>
    </row>
    <row r="222" spans="1:46" ht="13.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AC222" s="216"/>
      <c r="AN222" s="430"/>
      <c r="AO222" s="430"/>
      <c r="AP222" s="430"/>
      <c r="AQ222" s="428"/>
      <c r="AR222" s="428"/>
      <c r="AS222" s="428"/>
      <c r="AT222" s="249"/>
    </row>
    <row r="223" spans="1:46" ht="13.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AC223" s="216"/>
      <c r="AN223" s="430"/>
      <c r="AO223" s="430"/>
      <c r="AP223" s="430"/>
      <c r="AQ223" s="428"/>
      <c r="AR223" s="428"/>
      <c r="AS223" s="428"/>
      <c r="AT223" s="249"/>
    </row>
    <row r="224" spans="1:46" ht="13.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AC224" s="216"/>
      <c r="AN224" s="430"/>
      <c r="AO224" s="430"/>
      <c r="AP224" s="430"/>
      <c r="AQ224" s="428"/>
      <c r="AR224" s="428"/>
      <c r="AS224" s="428"/>
      <c r="AT224" s="249"/>
    </row>
    <row r="225" spans="1:46" ht="13.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AC225" s="216"/>
      <c r="AN225" s="430"/>
      <c r="AO225" s="430"/>
      <c r="AP225" s="430"/>
      <c r="AQ225" s="428"/>
      <c r="AR225" s="428"/>
      <c r="AS225" s="428"/>
      <c r="AT225" s="249"/>
    </row>
    <row r="226" spans="1:46" ht="13.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AC226" s="216"/>
      <c r="AN226" s="430"/>
      <c r="AO226" s="430"/>
      <c r="AP226" s="430"/>
      <c r="AQ226" s="428"/>
      <c r="AR226" s="428"/>
      <c r="AS226" s="428"/>
      <c r="AT226" s="249"/>
    </row>
    <row r="227" spans="1:46" ht="13.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AC227" s="216"/>
      <c r="AN227" s="430"/>
      <c r="AO227" s="430"/>
      <c r="AP227" s="430"/>
      <c r="AQ227" s="428"/>
      <c r="AR227" s="428"/>
      <c r="AS227" s="428"/>
      <c r="AT227" s="249"/>
    </row>
    <row r="228" spans="1:46" ht="13.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AC228" s="216"/>
      <c r="AN228" s="430"/>
      <c r="AO228" s="430"/>
      <c r="AP228" s="430"/>
      <c r="AQ228" s="428"/>
      <c r="AR228" s="428"/>
      <c r="AS228" s="428"/>
      <c r="AT228" s="249"/>
    </row>
    <row r="229" spans="1:46" ht="13.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AC229" s="216"/>
      <c r="AR229" s="427"/>
      <c r="AS229" s="427"/>
      <c r="AT229" s="249"/>
    </row>
    <row r="230" spans="1:46" ht="13.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AC230" s="216"/>
      <c r="AR230" s="427"/>
      <c r="AS230" s="427"/>
      <c r="AT230" s="249"/>
    </row>
    <row r="231" spans="1:46" ht="13.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AC231" s="216"/>
      <c r="AR231" s="427"/>
      <c r="AS231" s="427"/>
      <c r="AT231" s="249"/>
    </row>
    <row r="232" spans="1:46" ht="13.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AC232" s="216"/>
      <c r="AR232" s="427"/>
      <c r="AS232" s="427"/>
      <c r="AT232" s="249"/>
    </row>
    <row r="233" spans="1:46" ht="13.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AC233" s="216"/>
      <c r="AR233" s="427"/>
      <c r="AS233" s="427"/>
      <c r="AT233" s="249"/>
    </row>
    <row r="234" spans="1:46" ht="13.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AC234" s="216"/>
      <c r="AR234" s="427"/>
      <c r="AS234" s="427"/>
      <c r="AT234" s="249"/>
    </row>
    <row r="235" spans="1:46" ht="13.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AC235" s="216"/>
      <c r="AR235" s="427"/>
      <c r="AS235" s="427"/>
      <c r="AT235" s="249"/>
    </row>
    <row r="236" spans="1:46" ht="13.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AC236" s="216"/>
      <c r="AR236" s="427"/>
      <c r="AS236" s="427"/>
      <c r="AT236" s="249"/>
    </row>
    <row r="237" spans="1:46" ht="13.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AC237" s="216"/>
      <c r="AR237" s="427"/>
      <c r="AS237" s="427"/>
      <c r="AT237" s="249"/>
    </row>
    <row r="238" spans="1:46" ht="13.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AR238" s="427"/>
      <c r="AS238" s="427"/>
      <c r="AT238" s="249"/>
    </row>
    <row r="239" spans="1:46" ht="13.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AR239" s="427"/>
      <c r="AS239" s="427"/>
      <c r="AT239" s="249"/>
    </row>
    <row r="240" spans="1:46" ht="13.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AR240" s="427"/>
      <c r="AS240" s="427"/>
      <c r="AT240" s="249"/>
    </row>
    <row r="241" spans="1:46" ht="13.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AR241" s="427"/>
      <c r="AS241" s="427"/>
      <c r="AT241" s="249"/>
    </row>
    <row r="242" spans="1:46" ht="13.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AR242" s="427"/>
      <c r="AS242" s="427"/>
      <c r="AT242" s="249"/>
    </row>
    <row r="243" spans="1:46" ht="13.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AR243" s="427"/>
      <c r="AS243" s="427"/>
      <c r="AT243" s="249"/>
    </row>
    <row r="244" spans="1:46" ht="13.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AR244" s="427"/>
      <c r="AS244" s="427"/>
      <c r="AT244" s="249"/>
    </row>
    <row r="245" spans="1:46" ht="13.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AR245" s="427"/>
      <c r="AS245" s="427"/>
      <c r="AT245" s="249"/>
    </row>
    <row r="246" spans="1:46" ht="13.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AR246" s="427"/>
      <c r="AS246" s="427"/>
      <c r="AT246" s="249"/>
    </row>
    <row r="247" spans="1:46" ht="13.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AR247" s="427"/>
      <c r="AS247" s="427"/>
      <c r="AT247" s="249"/>
    </row>
    <row r="248" spans="1:46" ht="13.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AR248" s="427"/>
      <c r="AS248" s="427"/>
      <c r="AT248" s="249"/>
    </row>
    <row r="249" spans="1:46" ht="13.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AR249" s="427"/>
      <c r="AS249" s="427"/>
      <c r="AT249" s="249"/>
    </row>
    <row r="250" spans="1:46" ht="13.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AR250" s="427"/>
      <c r="AS250" s="427"/>
      <c r="AT250" s="249"/>
    </row>
    <row r="251" spans="1:46" ht="13.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AR251" s="427"/>
      <c r="AS251" s="427"/>
      <c r="AT251" s="249"/>
    </row>
    <row r="252" spans="1:46" ht="13.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AR252" s="427"/>
      <c r="AS252" s="427"/>
      <c r="AT252" s="249"/>
    </row>
    <row r="253" spans="1:46" ht="13.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AR253" s="427"/>
      <c r="AS253" s="427"/>
      <c r="AT253" s="249"/>
    </row>
    <row r="254" spans="1:46" ht="13.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AR254" s="427"/>
      <c r="AS254" s="427"/>
      <c r="AT254" s="249"/>
    </row>
    <row r="255" spans="1:46" ht="13.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AR255" s="427"/>
      <c r="AS255" s="427"/>
      <c r="AT255" s="249"/>
    </row>
    <row r="256" spans="1:46" ht="13.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AR256" s="427"/>
      <c r="AS256" s="427"/>
      <c r="AT256" s="249"/>
    </row>
    <row r="257" spans="1:46" ht="13.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AR257" s="427"/>
      <c r="AS257" s="427"/>
      <c r="AT257" s="249"/>
    </row>
    <row r="258" spans="1:46" ht="13.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AR258" s="427"/>
      <c r="AS258" s="427"/>
      <c r="AT258" s="249"/>
    </row>
    <row r="259" spans="1:46" ht="13.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AR259" s="427"/>
      <c r="AS259" s="427"/>
      <c r="AT259" s="249"/>
    </row>
    <row r="260" spans="1:46" ht="13.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AR260" s="427"/>
      <c r="AS260" s="427"/>
      <c r="AT260" s="249"/>
    </row>
    <row r="261" spans="1:46" ht="13.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AR261" s="427"/>
      <c r="AS261" s="427"/>
      <c r="AT261" s="249"/>
    </row>
    <row r="262" spans="1:46" ht="13.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AR262" s="427"/>
      <c r="AS262" s="427"/>
      <c r="AT262" s="249"/>
    </row>
    <row r="263" spans="1:46" ht="13.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AR263" s="427"/>
      <c r="AS263" s="427"/>
      <c r="AT263" s="249"/>
    </row>
    <row r="264" spans="1:46" ht="13.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AR264" s="427"/>
      <c r="AS264" s="427"/>
      <c r="AT264" s="249"/>
    </row>
    <row r="265" spans="1:46" ht="13.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AR265" s="427"/>
      <c r="AS265" s="427"/>
      <c r="AT265" s="249"/>
    </row>
    <row r="266" spans="1:46" ht="13.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AR266" s="427"/>
      <c r="AS266" s="427"/>
      <c r="AT266" s="249"/>
    </row>
    <row r="267" spans="1:46" ht="13.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AR267" s="427"/>
      <c r="AS267" s="427"/>
      <c r="AT267" s="249"/>
    </row>
    <row r="268" spans="1:46" ht="13.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AR268" s="427"/>
      <c r="AS268" s="427"/>
      <c r="AT268" s="249"/>
    </row>
    <row r="269" spans="1:46" ht="13.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AR269" s="427"/>
      <c r="AS269" s="427"/>
      <c r="AT269" s="249"/>
    </row>
    <row r="270" spans="1:46" ht="13.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AR270" s="427"/>
      <c r="AS270" s="427"/>
      <c r="AT270" s="249"/>
    </row>
    <row r="271" spans="1:46" ht="13.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AR271" s="427"/>
      <c r="AS271" s="427"/>
      <c r="AT271" s="249"/>
    </row>
    <row r="272" spans="1:46" ht="13.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AR272" s="427"/>
      <c r="AS272" s="427"/>
      <c r="AT272" s="249"/>
    </row>
    <row r="273" spans="1:46" ht="13.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AR273" s="427"/>
      <c r="AS273" s="427"/>
      <c r="AT273" s="249"/>
    </row>
    <row r="274" spans="1:46" ht="13.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AR274" s="427"/>
      <c r="AS274" s="427"/>
      <c r="AT274" s="249"/>
    </row>
    <row r="275" spans="1:46" ht="13.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AR275" s="427"/>
      <c r="AS275" s="427"/>
      <c r="AT275" s="249"/>
    </row>
    <row r="276" spans="1:46" ht="13.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AR276" s="427"/>
      <c r="AS276" s="427"/>
      <c r="AT276" s="249"/>
    </row>
    <row r="277" spans="1:46" ht="13.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AR277" s="427"/>
      <c r="AS277" s="427"/>
      <c r="AT277" s="249"/>
    </row>
    <row r="278" spans="1:46" ht="13.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AR278" s="427"/>
      <c r="AS278" s="427"/>
      <c r="AT278" s="249"/>
    </row>
    <row r="279" spans="1:46" ht="13.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AR279" s="427"/>
      <c r="AS279" s="427"/>
      <c r="AT279" s="249"/>
    </row>
    <row r="280" spans="1:46" ht="13.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AR280" s="427"/>
      <c r="AS280" s="427"/>
      <c r="AT280" s="249"/>
    </row>
    <row r="281" spans="1:46" ht="13.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AR281" s="427"/>
      <c r="AS281" s="427"/>
      <c r="AT281" s="249"/>
    </row>
    <row r="282" spans="1:46" ht="13.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AR282" s="427"/>
      <c r="AS282" s="427"/>
      <c r="AT282" s="249"/>
    </row>
    <row r="283" spans="1:46" ht="13.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AR283" s="427"/>
      <c r="AS283" s="427"/>
      <c r="AT283" s="249"/>
    </row>
    <row r="284" spans="1:46" ht="13.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AR284" s="427"/>
      <c r="AS284" s="427"/>
      <c r="AT284" s="249"/>
    </row>
    <row r="285" spans="1:46" ht="13.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AR285" s="427"/>
      <c r="AS285" s="427"/>
      <c r="AT285" s="249"/>
    </row>
    <row r="286" spans="1:46" ht="13.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AR286" s="427"/>
      <c r="AS286" s="427"/>
      <c r="AT286" s="249"/>
    </row>
    <row r="287" spans="1:46" ht="13.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AR287" s="427"/>
      <c r="AS287" s="427"/>
      <c r="AT287" s="249"/>
    </row>
    <row r="288" spans="1:46" ht="13.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AR288" s="427"/>
      <c r="AS288" s="427"/>
      <c r="AT288" s="249"/>
    </row>
    <row r="289" spans="1:46" ht="13.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AR289" s="427"/>
      <c r="AS289" s="427"/>
      <c r="AT289" s="249"/>
    </row>
    <row r="290" spans="1:46" ht="13.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AR290" s="427"/>
      <c r="AS290" s="427"/>
      <c r="AT290" s="249"/>
    </row>
    <row r="291" spans="1:46" ht="13.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AR291" s="427"/>
      <c r="AS291" s="427"/>
      <c r="AT291" s="249"/>
    </row>
    <row r="292" spans="1:46" ht="13.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AR292" s="427"/>
      <c r="AS292" s="427"/>
      <c r="AT292" s="249"/>
    </row>
    <row r="293" spans="1:46" ht="13.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AR293" s="427"/>
      <c r="AS293" s="427"/>
      <c r="AT293" s="249"/>
    </row>
    <row r="294" spans="1:46" ht="13.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AR294" s="427"/>
      <c r="AS294" s="427"/>
      <c r="AT294" s="249"/>
    </row>
    <row r="295" spans="1:46" ht="13.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AR295" s="427"/>
      <c r="AS295" s="427"/>
      <c r="AT295" s="249"/>
    </row>
    <row r="296" spans="1:46" ht="13.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AR296" s="427"/>
      <c r="AS296" s="427"/>
      <c r="AT296" s="249"/>
    </row>
    <row r="297" spans="1:46" ht="13.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AR297" s="427"/>
      <c r="AS297" s="427"/>
      <c r="AT297" s="249"/>
    </row>
    <row r="298" spans="1:46" ht="13.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AR298" s="427"/>
      <c r="AS298" s="427"/>
      <c r="AT298" s="249"/>
    </row>
    <row r="299" spans="1:46" ht="13.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AR299" s="427"/>
      <c r="AS299" s="427"/>
      <c r="AT299" s="249"/>
    </row>
    <row r="300" spans="1:46" ht="13.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AR300" s="427"/>
      <c r="AS300" s="427"/>
      <c r="AT300" s="249"/>
    </row>
    <row r="301" spans="1:46" ht="13.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AR301" s="427"/>
      <c r="AS301" s="427"/>
      <c r="AT301" s="249"/>
    </row>
    <row r="302" spans="1:46" ht="13.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AR302" s="427"/>
      <c r="AS302" s="427"/>
      <c r="AT302" s="249"/>
    </row>
    <row r="303" spans="1:46" ht="13.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AR303" s="427"/>
      <c r="AS303" s="427"/>
      <c r="AT303" s="249"/>
    </row>
    <row r="304" spans="1:46" ht="13.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AR304" s="427"/>
      <c r="AS304" s="427"/>
      <c r="AT304" s="249"/>
    </row>
    <row r="305" spans="1:46" ht="13.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AR305" s="427"/>
      <c r="AS305" s="427"/>
      <c r="AT305" s="249"/>
    </row>
    <row r="306" spans="1:46" ht="13.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AR306" s="427"/>
      <c r="AS306" s="427"/>
      <c r="AT306" s="249"/>
    </row>
    <row r="307" spans="1:46" ht="13.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AR307" s="427"/>
      <c r="AS307" s="427"/>
      <c r="AT307" s="249"/>
    </row>
    <row r="308" spans="1:46" ht="13.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AR308" s="427"/>
      <c r="AS308" s="427"/>
      <c r="AT308" s="249"/>
    </row>
    <row r="309" spans="1:46" ht="13.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AR309" s="427"/>
      <c r="AS309" s="427"/>
      <c r="AT309" s="249"/>
    </row>
    <row r="310" spans="1:46" ht="13.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AR310" s="427"/>
      <c r="AS310" s="427"/>
      <c r="AT310" s="249"/>
    </row>
    <row r="311" spans="1:46" ht="13.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AR311" s="427"/>
      <c r="AS311" s="427"/>
      <c r="AT311" s="249"/>
    </row>
    <row r="312" spans="1:46" ht="13.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AR312" s="427"/>
      <c r="AS312" s="427"/>
      <c r="AT312" s="249"/>
    </row>
    <row r="313" spans="1:46" ht="13.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AR313" s="427"/>
      <c r="AS313" s="427"/>
      <c r="AT313" s="249"/>
    </row>
    <row r="314" spans="1:46" ht="13.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AR314" s="427"/>
      <c r="AS314" s="427"/>
      <c r="AT314" s="249"/>
    </row>
    <row r="315" spans="1:46" ht="13.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AR315" s="427"/>
      <c r="AS315" s="427"/>
      <c r="AT315" s="249"/>
    </row>
    <row r="316" spans="1:46" ht="13.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AR316" s="427"/>
      <c r="AS316" s="427"/>
      <c r="AT316" s="249"/>
    </row>
    <row r="317" spans="1:46" ht="13.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AR317" s="427"/>
      <c r="AS317" s="427"/>
      <c r="AT317" s="249"/>
    </row>
    <row r="318" spans="1:46" ht="13.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AR318" s="427"/>
      <c r="AS318" s="427"/>
      <c r="AT318" s="249"/>
    </row>
    <row r="319" spans="1:46" ht="13.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AR319" s="427"/>
      <c r="AS319" s="427"/>
      <c r="AT319" s="249"/>
    </row>
    <row r="320" spans="1:46" ht="13.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AR320" s="427"/>
      <c r="AS320" s="427"/>
      <c r="AT320" s="249"/>
    </row>
    <row r="321" spans="1:46" ht="13.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AR321" s="427"/>
      <c r="AS321" s="427"/>
      <c r="AT321" s="249"/>
    </row>
    <row r="322" spans="1:46" ht="13.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AR322" s="427"/>
      <c r="AS322" s="427"/>
      <c r="AT322" s="249"/>
    </row>
    <row r="323" spans="1:46" ht="13.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AR323" s="427"/>
      <c r="AS323" s="427"/>
      <c r="AT323" s="249"/>
    </row>
    <row r="324" spans="1:46" ht="13.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AR324" s="427"/>
      <c r="AS324" s="427"/>
      <c r="AT324" s="249"/>
    </row>
    <row r="325" spans="1:46" ht="13.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AR325" s="427"/>
      <c r="AS325" s="427"/>
      <c r="AT325" s="249"/>
    </row>
    <row r="326" spans="1:46" ht="13.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AR326" s="427"/>
      <c r="AS326" s="427"/>
      <c r="AT326" s="249"/>
    </row>
    <row r="327" spans="1:46" ht="13.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AR327" s="427"/>
      <c r="AS327" s="427"/>
      <c r="AT327" s="249"/>
    </row>
    <row r="328" spans="1:46" ht="13.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AR328" s="427"/>
      <c r="AS328" s="427"/>
      <c r="AT328" s="249"/>
    </row>
    <row r="329" spans="1:46" ht="13.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AR329" s="427"/>
      <c r="AS329" s="427"/>
      <c r="AT329" s="249"/>
    </row>
    <row r="330" spans="1:46" ht="13.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AR330" s="427"/>
      <c r="AS330" s="427"/>
      <c r="AT330" s="249"/>
    </row>
    <row r="331" spans="1:46" ht="13.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AR331" s="427"/>
      <c r="AS331" s="427"/>
      <c r="AT331" s="249"/>
    </row>
    <row r="332" spans="1:46" ht="13.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AR332" s="427"/>
      <c r="AS332" s="427"/>
      <c r="AT332" s="249"/>
    </row>
    <row r="333" spans="1:46" ht="13.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AR333" s="427"/>
      <c r="AS333" s="427"/>
      <c r="AT333" s="249"/>
    </row>
    <row r="334" spans="1:46" ht="13.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AR334" s="427"/>
      <c r="AS334" s="427"/>
      <c r="AT334" s="249"/>
    </row>
    <row r="335" spans="1:46" ht="13.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AR335" s="427"/>
      <c r="AS335" s="427"/>
      <c r="AT335" s="249"/>
    </row>
    <row r="336" spans="1:46" ht="13.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AR336" s="427"/>
      <c r="AS336" s="427"/>
      <c r="AT336" s="249"/>
    </row>
    <row r="337" spans="1:46" ht="13.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AR337" s="427"/>
      <c r="AS337" s="427"/>
      <c r="AT337" s="249"/>
    </row>
    <row r="338" spans="1:46" ht="13.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AR338" s="427"/>
      <c r="AS338" s="427"/>
      <c r="AT338" s="249"/>
    </row>
    <row r="339" spans="1:46" ht="13.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AR339" s="427"/>
      <c r="AS339" s="427"/>
      <c r="AT339" s="249"/>
    </row>
    <row r="340" spans="1:46" ht="13.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AR340" s="427"/>
      <c r="AS340" s="427"/>
      <c r="AT340" s="249"/>
    </row>
    <row r="341" spans="1:46" ht="13.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AR341" s="427"/>
      <c r="AS341" s="427"/>
      <c r="AT341" s="249"/>
    </row>
    <row r="342" spans="1:46" ht="13.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AR342" s="427"/>
      <c r="AS342" s="427"/>
      <c r="AT342" s="249"/>
    </row>
    <row r="343" spans="1:46" ht="13.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AR343" s="427"/>
      <c r="AS343" s="427"/>
      <c r="AT343" s="249"/>
    </row>
    <row r="344" spans="1:46" ht="13.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AR344" s="427"/>
      <c r="AS344" s="427"/>
      <c r="AT344" s="249"/>
    </row>
    <row r="345" spans="1:46" ht="13.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AR345" s="427"/>
      <c r="AS345" s="427"/>
      <c r="AT345" s="249"/>
    </row>
    <row r="346" spans="1:46" ht="13.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AR346" s="427"/>
      <c r="AS346" s="427"/>
      <c r="AT346" s="249"/>
    </row>
    <row r="347" spans="1:46" ht="13.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AR347" s="427"/>
      <c r="AS347" s="427"/>
      <c r="AT347" s="249"/>
    </row>
    <row r="348" spans="1:46" ht="13.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AR348" s="427"/>
      <c r="AS348" s="427"/>
      <c r="AT348" s="249"/>
    </row>
    <row r="349" spans="1:46" ht="13.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AR349" s="427"/>
      <c r="AS349" s="427"/>
      <c r="AT349" s="249"/>
    </row>
    <row r="350" spans="1:46" ht="13.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AR350" s="427"/>
      <c r="AS350" s="427"/>
      <c r="AT350" s="249"/>
    </row>
    <row r="351" spans="1:46" ht="13.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AR351" s="427"/>
      <c r="AS351" s="427"/>
      <c r="AT351" s="249"/>
    </row>
    <row r="352" spans="1:46" ht="13.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AR352" s="427"/>
      <c r="AS352" s="427"/>
      <c r="AT352" s="249"/>
    </row>
    <row r="353" spans="1:46" ht="13.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AR353" s="427"/>
      <c r="AS353" s="427"/>
      <c r="AT353" s="249"/>
    </row>
    <row r="354" spans="1:46" ht="13.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AR354" s="427"/>
      <c r="AS354" s="427"/>
      <c r="AT354" s="249"/>
    </row>
    <row r="355" spans="1:46" ht="13.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AR355" s="427"/>
      <c r="AS355" s="427"/>
      <c r="AT355" s="249"/>
    </row>
    <row r="356" spans="1:46" ht="13.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AR356" s="427"/>
      <c r="AS356" s="427"/>
      <c r="AT356" s="249"/>
    </row>
    <row r="357" spans="1:46" ht="13.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AR357" s="427"/>
      <c r="AS357" s="427"/>
      <c r="AT357" s="249"/>
    </row>
    <row r="358" spans="1:46" ht="13.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AR358" s="427"/>
      <c r="AS358" s="427"/>
      <c r="AT358" s="249"/>
    </row>
    <row r="359" spans="1:46" ht="13.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AR359" s="427"/>
      <c r="AS359" s="427"/>
      <c r="AT359" s="249"/>
    </row>
    <row r="360" spans="1:46" ht="13.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AR360" s="427"/>
      <c r="AS360" s="427"/>
      <c r="AT360" s="249"/>
    </row>
    <row r="361" spans="1:46" ht="13.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AR361" s="427"/>
      <c r="AS361" s="427"/>
      <c r="AT361" s="249"/>
    </row>
    <row r="362" spans="1:46" ht="13.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AR362" s="427"/>
      <c r="AS362" s="427"/>
      <c r="AT362" s="249"/>
    </row>
    <row r="363" spans="1:46" ht="13.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AR363" s="427"/>
      <c r="AS363" s="427"/>
      <c r="AT363" s="249"/>
    </row>
    <row r="364" spans="1:46" ht="13.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AR364" s="427"/>
      <c r="AS364" s="427"/>
      <c r="AT364" s="249"/>
    </row>
    <row r="365" spans="1:46" ht="13.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AR365" s="427"/>
      <c r="AS365" s="427"/>
      <c r="AT365" s="249"/>
    </row>
    <row r="366" spans="1:46" ht="13.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AR366" s="427"/>
      <c r="AS366" s="427"/>
      <c r="AT366" s="249"/>
    </row>
    <row r="367" spans="1:46" ht="13.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AR367" s="427"/>
      <c r="AS367" s="427"/>
      <c r="AT367" s="249"/>
    </row>
    <row r="368" spans="1:46" ht="13.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AR368" s="427"/>
      <c r="AS368" s="427"/>
      <c r="AT368" s="249"/>
    </row>
    <row r="369" spans="1:46" ht="13.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AR369" s="427"/>
      <c r="AS369" s="427"/>
      <c r="AT369" s="249"/>
    </row>
    <row r="370" spans="1:46" ht="13.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AR370" s="427"/>
      <c r="AS370" s="427"/>
      <c r="AT370" s="249"/>
    </row>
    <row r="371" spans="1:46" ht="13.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AR371" s="427"/>
      <c r="AS371" s="427"/>
      <c r="AT371" s="249"/>
    </row>
    <row r="372" spans="1:46" ht="13.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AR372" s="427"/>
      <c r="AS372" s="427"/>
      <c r="AT372" s="249"/>
    </row>
    <row r="373" spans="1:46" ht="13.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AR373" s="427"/>
      <c r="AS373" s="427"/>
      <c r="AT373" s="249"/>
    </row>
    <row r="374" spans="1:46" ht="13.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AR374" s="427"/>
      <c r="AS374" s="427"/>
      <c r="AT374" s="249"/>
    </row>
    <row r="375" spans="1:46" ht="13.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AR375" s="427"/>
      <c r="AS375" s="427"/>
      <c r="AT375" s="249"/>
    </row>
    <row r="376" spans="1:46" ht="13.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AR376" s="427"/>
      <c r="AS376" s="427"/>
      <c r="AT376" s="249"/>
    </row>
    <row r="377" spans="1:46" ht="13.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AR377" s="427"/>
      <c r="AS377" s="427"/>
      <c r="AT377" s="249"/>
    </row>
    <row r="378" spans="1:46" ht="13.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AR378" s="427"/>
      <c r="AS378" s="427"/>
      <c r="AT378" s="249"/>
    </row>
    <row r="379" spans="1:46" ht="13.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AR379" s="427"/>
      <c r="AS379" s="427"/>
      <c r="AT379" s="249"/>
    </row>
    <row r="380" spans="1:46" ht="13.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AR380" s="427"/>
      <c r="AS380" s="427"/>
      <c r="AT380" s="249"/>
    </row>
    <row r="381" spans="1:46" ht="13.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AR381" s="427"/>
      <c r="AS381" s="427"/>
      <c r="AT381" s="249"/>
    </row>
    <row r="382" spans="1:46" ht="13.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AR382" s="427"/>
      <c r="AS382" s="427"/>
      <c r="AT382" s="249"/>
    </row>
    <row r="383" spans="1:46" ht="13.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AR383" s="427"/>
      <c r="AS383" s="427"/>
      <c r="AT383" s="249"/>
    </row>
    <row r="384" spans="1:46" ht="13.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AR384" s="427"/>
      <c r="AS384" s="427"/>
      <c r="AT384" s="249"/>
    </row>
    <row r="385" spans="1:46" ht="13.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AR385" s="427"/>
      <c r="AS385" s="427"/>
      <c r="AT385" s="249"/>
    </row>
    <row r="386" spans="1:46" ht="13.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AR386" s="427"/>
      <c r="AS386" s="427"/>
      <c r="AT386" s="249"/>
    </row>
    <row r="387" spans="1:46" ht="13.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AR387" s="427"/>
      <c r="AS387" s="427"/>
      <c r="AT387" s="249"/>
    </row>
    <row r="388" spans="1:46" ht="13.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AR388" s="427"/>
      <c r="AS388" s="427"/>
      <c r="AT388" s="249"/>
    </row>
    <row r="389" spans="1:46" ht="13.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AR389" s="427"/>
      <c r="AS389" s="427"/>
      <c r="AT389" s="249"/>
    </row>
    <row r="390" spans="1:46" ht="13.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AR390" s="427"/>
      <c r="AS390" s="427"/>
      <c r="AT390" s="249"/>
    </row>
    <row r="391" spans="1:46" ht="13.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AR391" s="427"/>
      <c r="AS391" s="427"/>
      <c r="AT391" s="249"/>
    </row>
    <row r="392" spans="1:46" ht="13.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AR392" s="427"/>
      <c r="AS392" s="427"/>
      <c r="AT392" s="249"/>
    </row>
    <row r="393" spans="1:46" ht="13.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AR393" s="427"/>
      <c r="AS393" s="427"/>
      <c r="AT393" s="249"/>
    </row>
    <row r="394" spans="1:46" ht="13.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AR394" s="427"/>
      <c r="AS394" s="427"/>
      <c r="AT394" s="249"/>
    </row>
    <row r="395" spans="1:46" ht="13.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AR395" s="427"/>
      <c r="AS395" s="427"/>
      <c r="AT395" s="249"/>
    </row>
    <row r="396" spans="1:46" ht="13.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AR396" s="427"/>
      <c r="AS396" s="427"/>
      <c r="AT396" s="249"/>
    </row>
    <row r="397" spans="1:46" ht="13.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AR397" s="427"/>
      <c r="AS397" s="427"/>
      <c r="AT397" s="249"/>
    </row>
    <row r="398" spans="1:46" ht="13.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AR398" s="427"/>
      <c r="AS398" s="427"/>
      <c r="AT398" s="249"/>
    </row>
    <row r="399" spans="1:46" ht="13.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AR399" s="427"/>
      <c r="AS399" s="427"/>
      <c r="AT399" s="249"/>
    </row>
    <row r="400" spans="1:46" ht="13.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AR400" s="427"/>
      <c r="AS400" s="427"/>
      <c r="AT400" s="249"/>
    </row>
    <row r="401" spans="1:46" ht="13.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AR401" s="427"/>
      <c r="AS401" s="427"/>
      <c r="AT401" s="249"/>
    </row>
    <row r="402" spans="1:46" ht="13.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AR402" s="427"/>
      <c r="AS402" s="427"/>
      <c r="AT402" s="249"/>
    </row>
    <row r="403" spans="1:46" ht="13.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AR403" s="427"/>
      <c r="AS403" s="427"/>
      <c r="AT403" s="249"/>
    </row>
    <row r="404" spans="1:46" ht="13.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AR404" s="427"/>
      <c r="AS404" s="427"/>
      <c r="AT404" s="249"/>
    </row>
    <row r="405" spans="1:46" ht="13.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AR405" s="427"/>
      <c r="AS405" s="427"/>
      <c r="AT405" s="249"/>
    </row>
    <row r="406" spans="1:46" ht="13.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AR406" s="427"/>
      <c r="AS406" s="427"/>
      <c r="AT406" s="249"/>
    </row>
    <row r="407" spans="1:46" ht="13.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AR407" s="427"/>
      <c r="AS407" s="427"/>
      <c r="AT407" s="249"/>
    </row>
    <row r="408" spans="1:46" ht="13.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AR408" s="427"/>
      <c r="AS408" s="427"/>
      <c r="AT408" s="249"/>
    </row>
    <row r="409" spans="1:46" ht="13.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AR409" s="427"/>
      <c r="AS409" s="427"/>
      <c r="AT409" s="249"/>
    </row>
    <row r="410" spans="1:46" ht="13.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AR410" s="427"/>
      <c r="AS410" s="427"/>
      <c r="AT410" s="249"/>
    </row>
    <row r="411" spans="1:46" ht="13.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AR411" s="427"/>
      <c r="AS411" s="427"/>
      <c r="AT411" s="249"/>
    </row>
    <row r="412" spans="1:46" ht="13.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AR412" s="427"/>
      <c r="AS412" s="427"/>
      <c r="AT412" s="249"/>
    </row>
    <row r="413" spans="1:46" ht="13.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AR413" s="427"/>
      <c r="AS413" s="427"/>
      <c r="AT413" s="249"/>
    </row>
    <row r="414" spans="1:46" ht="13.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AR414" s="427"/>
      <c r="AS414" s="427"/>
      <c r="AT414" s="249"/>
    </row>
    <row r="415" spans="1:46" ht="13.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AR415" s="427"/>
      <c r="AS415" s="427"/>
      <c r="AT415" s="249"/>
    </row>
    <row r="416" spans="1:46" ht="13.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AR416" s="427"/>
      <c r="AS416" s="427"/>
      <c r="AT416" s="249"/>
    </row>
    <row r="417" spans="1:46" ht="13.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AR417" s="427"/>
      <c r="AS417" s="427"/>
      <c r="AT417" s="249"/>
    </row>
    <row r="418" spans="1:46" ht="13.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AR418" s="427"/>
      <c r="AS418" s="427"/>
      <c r="AT418" s="249"/>
    </row>
    <row r="419" spans="1:46" ht="13.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AR419" s="427"/>
      <c r="AS419" s="427"/>
      <c r="AT419" s="249"/>
    </row>
    <row r="420" spans="1:46" ht="13.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AR420" s="427"/>
      <c r="AS420" s="427"/>
      <c r="AT420" s="249"/>
    </row>
    <row r="421" spans="1:46" ht="13.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AR421" s="427"/>
      <c r="AS421" s="427"/>
      <c r="AT421" s="249"/>
    </row>
    <row r="422" spans="1:46" ht="13.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AR422" s="427"/>
      <c r="AS422" s="427"/>
      <c r="AT422" s="249"/>
    </row>
    <row r="423" spans="1:46" ht="13.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AR423" s="427"/>
      <c r="AS423" s="427"/>
      <c r="AT423" s="249"/>
    </row>
    <row r="424" spans="1:46" ht="13.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AR424" s="427"/>
      <c r="AS424" s="427"/>
      <c r="AT424" s="249"/>
    </row>
    <row r="425" spans="1:46" ht="13.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AR425" s="427"/>
      <c r="AS425" s="427"/>
      <c r="AT425" s="249"/>
    </row>
    <row r="426" spans="1:46" ht="13.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AR426" s="427"/>
      <c r="AS426" s="427"/>
      <c r="AT426" s="249"/>
    </row>
    <row r="427" spans="1:46" ht="13.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AR427" s="427"/>
      <c r="AS427" s="427"/>
      <c r="AT427" s="249"/>
    </row>
    <row r="428" spans="1:46" ht="13.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AR428" s="427"/>
      <c r="AS428" s="427"/>
      <c r="AT428" s="249"/>
    </row>
    <row r="429" spans="1:46" ht="13.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AR429" s="427"/>
      <c r="AS429" s="427"/>
      <c r="AT429" s="249"/>
    </row>
    <row r="430" spans="1:46" ht="13.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AR430" s="427"/>
      <c r="AS430" s="427"/>
      <c r="AT430" s="249"/>
    </row>
    <row r="431" spans="1:46" ht="13.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AR431" s="427"/>
      <c r="AS431" s="427"/>
      <c r="AT431" s="249"/>
    </row>
    <row r="432" spans="1:46" ht="13.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AR432" s="427"/>
      <c r="AS432" s="427"/>
      <c r="AT432" s="249"/>
    </row>
    <row r="433" spans="1:46" ht="13.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AR433" s="427"/>
      <c r="AS433" s="427"/>
      <c r="AT433" s="249"/>
    </row>
    <row r="434" spans="1:46" ht="13.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AR434" s="427"/>
      <c r="AS434" s="427"/>
      <c r="AT434" s="249"/>
    </row>
    <row r="435" spans="1:46" ht="13.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AR435" s="427"/>
      <c r="AS435" s="427"/>
      <c r="AT435" s="249"/>
    </row>
    <row r="436" spans="1:46" ht="13.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AR436" s="427"/>
      <c r="AS436" s="427"/>
      <c r="AT436" s="249"/>
    </row>
    <row r="437" spans="1:46" ht="13.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AR437" s="427"/>
      <c r="AS437" s="427"/>
      <c r="AT437" s="249"/>
    </row>
    <row r="438" spans="1:46" ht="13.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AR438" s="427"/>
      <c r="AS438" s="427"/>
      <c r="AT438" s="249"/>
    </row>
    <row r="439" spans="1:46" ht="13.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AR439" s="427"/>
      <c r="AS439" s="427"/>
      <c r="AT439" s="249"/>
    </row>
    <row r="440" spans="1:46" ht="13.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AR440" s="427"/>
      <c r="AS440" s="427"/>
      <c r="AT440" s="249"/>
    </row>
    <row r="441" spans="1:46" ht="13.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AR441" s="427"/>
      <c r="AS441" s="427"/>
      <c r="AT441" s="249"/>
    </row>
    <row r="442" spans="1:46" ht="13.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AR442" s="427"/>
      <c r="AS442" s="427"/>
      <c r="AT442" s="249"/>
    </row>
    <row r="443" spans="1:46" ht="13.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AR443" s="427"/>
      <c r="AS443" s="427"/>
      <c r="AT443" s="249"/>
    </row>
    <row r="444" spans="1:46" ht="13.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AR444" s="427"/>
      <c r="AS444" s="427"/>
      <c r="AT444" s="249"/>
    </row>
    <row r="445" spans="1:46" ht="13.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AR445" s="427"/>
      <c r="AS445" s="427"/>
      <c r="AT445" s="249"/>
    </row>
    <row r="446" spans="1:46" ht="13.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AR446" s="427"/>
      <c r="AS446" s="427"/>
      <c r="AT446" s="249"/>
    </row>
    <row r="447" spans="1:46" ht="13.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AR447" s="427"/>
      <c r="AS447" s="427"/>
      <c r="AT447" s="249"/>
    </row>
    <row r="448" spans="1:46" ht="13.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AR448" s="427"/>
      <c r="AS448" s="427"/>
      <c r="AT448" s="249"/>
    </row>
    <row r="449" spans="1:46" ht="13.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AR449" s="427"/>
      <c r="AS449" s="427"/>
      <c r="AT449" s="249"/>
    </row>
    <row r="450" spans="1:46" ht="13.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AR450" s="427"/>
      <c r="AS450" s="427"/>
      <c r="AT450" s="249"/>
    </row>
    <row r="451" spans="1:46" ht="13.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AR451" s="427"/>
      <c r="AS451" s="427"/>
      <c r="AT451" s="249"/>
    </row>
    <row r="452" spans="1:46" ht="13.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AR452" s="427"/>
      <c r="AS452" s="427"/>
      <c r="AT452" s="249"/>
    </row>
    <row r="453" spans="1:46" ht="13.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AR453" s="427"/>
      <c r="AS453" s="427"/>
      <c r="AT453" s="249"/>
    </row>
    <row r="454" spans="1:46" ht="13.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AR454" s="427"/>
      <c r="AS454" s="427"/>
      <c r="AT454" s="249"/>
    </row>
    <row r="455" spans="1:46" ht="13.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AR455" s="427"/>
      <c r="AS455" s="427"/>
      <c r="AT455" s="249"/>
    </row>
    <row r="456" spans="1:46" ht="13.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AR456" s="427"/>
      <c r="AS456" s="427"/>
      <c r="AT456" s="249"/>
    </row>
    <row r="457" spans="1:46" ht="13.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AR457" s="427"/>
      <c r="AS457" s="427"/>
      <c r="AT457" s="249"/>
    </row>
    <row r="458" spans="1:46" ht="13.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AR458" s="427"/>
      <c r="AS458" s="427"/>
      <c r="AT458" s="249"/>
    </row>
    <row r="459" spans="1:46" ht="13.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AR459" s="427"/>
      <c r="AS459" s="427"/>
      <c r="AT459" s="249"/>
    </row>
    <row r="460" spans="1:46" ht="13.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AR460" s="427"/>
      <c r="AS460" s="427"/>
      <c r="AT460" s="249"/>
    </row>
    <row r="461" spans="1:46" ht="13.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AR461" s="427"/>
      <c r="AS461" s="427"/>
      <c r="AT461" s="249"/>
    </row>
    <row r="462" spans="1:46" ht="13.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AR462" s="427"/>
      <c r="AS462" s="427"/>
      <c r="AT462" s="249"/>
    </row>
    <row r="463" spans="1:46" ht="13.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AR463" s="427"/>
      <c r="AS463" s="427"/>
      <c r="AT463" s="249"/>
    </row>
    <row r="464" spans="1:46" ht="13.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AR464" s="427"/>
      <c r="AS464" s="427"/>
      <c r="AT464" s="249"/>
    </row>
    <row r="465" spans="1:46" ht="13.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AR465" s="427"/>
      <c r="AS465" s="427"/>
      <c r="AT465" s="249"/>
    </row>
    <row r="466" spans="1:46" ht="13.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AR466" s="427"/>
      <c r="AS466" s="427"/>
      <c r="AT466" s="249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7"/>
      <c r="AS467" s="427"/>
      <c r="AT467" s="249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7"/>
      <c r="AS468" s="427"/>
      <c r="AT468" s="249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7"/>
      <c r="AS469" s="427"/>
      <c r="AT469" s="249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7"/>
      <c r="AS470" s="427"/>
      <c r="AT470" s="249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7"/>
      <c r="AS471" s="427"/>
      <c r="AT471" s="249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7"/>
      <c r="AS472" s="427"/>
      <c r="AT472" s="249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7"/>
      <c r="AS473" s="427"/>
      <c r="AT473" s="249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7"/>
      <c r="AS474" s="427"/>
      <c r="AT474" s="249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7"/>
      <c r="AS475" s="427"/>
      <c r="AT475" s="249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7"/>
      <c r="AS476" s="427"/>
      <c r="AT476" s="249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7"/>
      <c r="AS477" s="427"/>
      <c r="AT477" s="249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7"/>
      <c r="AS478" s="427"/>
      <c r="AT478" s="249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7"/>
      <c r="AS479" s="427"/>
      <c r="AT479" s="249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7"/>
      <c r="AS480" s="427"/>
      <c r="AT480" s="249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7"/>
      <c r="AS481" s="427"/>
      <c r="AT481" s="249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7"/>
      <c r="AS482" s="427"/>
      <c r="AT482" s="249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7"/>
      <c r="AS483" s="427"/>
      <c r="AT483" s="249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7"/>
      <c r="AS484" s="427"/>
      <c r="AT484" s="249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7"/>
      <c r="AS485" s="427"/>
      <c r="AT485" s="249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7"/>
      <c r="AS486" s="427"/>
      <c r="AT486" s="249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7"/>
      <c r="AS487" s="427"/>
      <c r="AT487" s="249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7"/>
      <c r="AS488" s="427"/>
      <c r="AT488" s="249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7"/>
      <c r="AS489" s="427"/>
      <c r="AT489" s="249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7"/>
      <c r="AS490" s="427"/>
      <c r="AT490" s="249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7"/>
      <c r="AS491" s="427"/>
      <c r="AT491" s="249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7"/>
      <c r="AS492" s="427"/>
      <c r="AT492" s="249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7"/>
      <c r="AS493" s="427"/>
      <c r="AT493" s="249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7"/>
      <c r="AS494" s="427"/>
      <c r="AT494" s="249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7"/>
      <c r="AS495" s="427"/>
      <c r="AT495" s="249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7"/>
      <c r="AS496" s="427"/>
      <c r="AT496" s="249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7"/>
      <c r="AS497" s="427"/>
      <c r="AT497" s="249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7"/>
      <c r="AS498" s="427"/>
      <c r="AT498" s="249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7"/>
      <c r="AS499" s="427"/>
      <c r="AT499" s="249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7"/>
      <c r="AS500" s="427"/>
      <c r="AT500" s="249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7"/>
      <c r="AS501" s="427"/>
      <c r="AT501" s="249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7"/>
      <c r="AS502" s="427"/>
      <c r="AT502" s="249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7"/>
      <c r="AS503" s="427"/>
      <c r="AT503" s="249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7"/>
      <c r="AS504" s="427"/>
      <c r="AT504" s="249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7"/>
      <c r="AS505" s="427"/>
      <c r="AT505" s="249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7"/>
      <c r="AS506" s="427"/>
      <c r="AT506" s="249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7"/>
      <c r="AS507" s="427"/>
      <c r="AT507" s="249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7"/>
      <c r="AS508" s="427"/>
      <c r="AT508" s="249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7"/>
      <c r="AS509" s="427"/>
      <c r="AT509" s="249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7"/>
      <c r="AS510" s="427"/>
      <c r="AT510" s="249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7"/>
      <c r="AS511" s="427"/>
      <c r="AT511" s="249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7"/>
      <c r="AS512" s="427"/>
      <c r="AT512" s="249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7"/>
      <c r="AS513" s="427"/>
      <c r="AT513" s="249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7"/>
      <c r="AS514" s="427"/>
      <c r="AT514" s="249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7"/>
      <c r="AS515" s="427"/>
      <c r="AT515" s="249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7"/>
      <c r="AS516" s="427"/>
      <c r="AT516" s="249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7"/>
      <c r="AS517" s="427"/>
      <c r="AT517" s="249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7"/>
      <c r="AS518" s="427"/>
      <c r="AT518" s="249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7"/>
      <c r="AS519" s="427"/>
      <c r="AT519" s="249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7"/>
      <c r="AS520" s="427"/>
      <c r="AT520" s="249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7"/>
      <c r="AS521" s="427"/>
      <c r="AT521" s="249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7"/>
      <c r="AS522" s="427"/>
      <c r="AT522" s="249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7"/>
      <c r="AS523" s="427"/>
      <c r="AT523" s="249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7"/>
      <c r="AS524" s="427"/>
      <c r="AT524" s="249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7"/>
      <c r="AS525" s="427"/>
      <c r="AT525" s="249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7"/>
      <c r="AS526" s="427"/>
      <c r="AT526" s="249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7"/>
      <c r="AS527" s="427"/>
      <c r="AT527" s="249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7"/>
      <c r="AS528" s="427"/>
      <c r="AT528" s="249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7"/>
      <c r="AS529" s="427"/>
      <c r="AT529" s="249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7"/>
      <c r="AS530" s="427"/>
      <c r="AT530" s="249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7"/>
      <c r="AS531" s="427"/>
      <c r="AT531" s="249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7"/>
      <c r="AS532" s="427"/>
      <c r="AT532" s="249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7"/>
      <c r="AS533" s="427"/>
      <c r="AT533" s="249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7"/>
      <c r="AS534" s="427"/>
      <c r="AT534" s="249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7"/>
      <c r="AS535" s="427"/>
      <c r="AT535" s="249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7"/>
      <c r="AS536" s="427"/>
      <c r="AT536" s="249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7"/>
      <c r="AS537" s="427"/>
      <c r="AT537" s="249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7"/>
      <c r="AS538" s="427"/>
      <c r="AT538" s="249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7"/>
      <c r="AS539" s="427"/>
      <c r="AT539" s="249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7"/>
      <c r="AS540" s="427"/>
      <c r="AT540" s="249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7"/>
      <c r="AS541" s="427"/>
      <c r="AT541" s="249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7"/>
      <c r="AS542" s="427"/>
      <c r="AT542" s="249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7"/>
      <c r="AS543" s="427"/>
      <c r="AT543" s="249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7"/>
      <c r="AS544" s="427"/>
      <c r="AT544" s="249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7"/>
      <c r="AS545" s="427"/>
      <c r="AT545" s="249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7"/>
      <c r="AS546" s="427"/>
      <c r="AT546" s="249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7"/>
      <c r="AS547" s="427"/>
      <c r="AT547" s="249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7"/>
      <c r="AS548" s="427"/>
      <c r="AT548" s="249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7"/>
      <c r="AS549" s="427"/>
      <c r="AT549" s="249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7"/>
      <c r="AS550" s="427"/>
      <c r="AT550" s="249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7"/>
      <c r="AS551" s="427"/>
      <c r="AT551" s="249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7"/>
      <c r="AS552" s="427"/>
      <c r="AT552" s="249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7"/>
      <c r="AS553" s="427"/>
      <c r="AT553" s="249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7"/>
      <c r="AS554" s="427"/>
      <c r="AT554" s="249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7"/>
      <c r="AS555" s="427"/>
      <c r="AT555" s="249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7"/>
      <c r="AS556" s="427"/>
      <c r="AT556" s="249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7"/>
      <c r="AS557" s="427"/>
      <c r="AT557" s="249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7"/>
      <c r="AS558" s="427"/>
      <c r="AT558" s="249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7"/>
      <c r="AS559" s="427"/>
      <c r="AT559" s="249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7"/>
      <c r="AS560" s="427"/>
      <c r="AT560" s="249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7"/>
      <c r="AS561" s="427"/>
      <c r="AT561" s="249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7"/>
      <c r="AS562" s="427"/>
      <c r="AT562" s="249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7"/>
      <c r="AS563" s="427"/>
      <c r="AT563" s="249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7"/>
      <c r="AS564" s="427"/>
      <c r="AT564" s="249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7"/>
      <c r="AS565" s="427"/>
      <c r="AT565" s="249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7"/>
      <c r="AS566" s="427"/>
      <c r="AT566" s="249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7"/>
      <c r="AS567" s="427"/>
      <c r="AT567" s="249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7"/>
      <c r="AS568" s="427"/>
      <c r="AT568" s="249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7"/>
      <c r="AS569" s="427"/>
      <c r="AT569" s="249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7"/>
      <c r="AS570" s="427"/>
      <c r="AT570" s="249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7"/>
      <c r="AS571" s="427"/>
      <c r="AT571" s="249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7"/>
      <c r="AS572" s="427"/>
      <c r="AT572" s="249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7"/>
      <c r="AS573" s="427"/>
      <c r="AT573" s="249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7"/>
      <c r="AS574" s="427"/>
      <c r="AT574" s="249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7"/>
      <c r="AS575" s="427"/>
      <c r="AT575" s="249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7"/>
      <c r="AS576" s="427"/>
      <c r="AT576" s="249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7"/>
      <c r="AS577" s="427"/>
      <c r="AT577" s="249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7"/>
      <c r="AS578" s="427"/>
      <c r="AT578" s="249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7"/>
      <c r="AS579" s="427"/>
      <c r="AT579" s="249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7"/>
      <c r="AS580" s="427"/>
      <c r="AT580" s="249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7"/>
      <c r="AS581" s="427"/>
      <c r="AT581" s="249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7"/>
      <c r="AS582" s="427"/>
      <c r="AT582" s="249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7"/>
      <c r="AS583" s="427"/>
      <c r="AT583" s="249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7"/>
      <c r="AS584" s="427"/>
      <c r="AT584" s="249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7"/>
      <c r="AS585" s="427"/>
      <c r="AT585" s="249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7"/>
      <c r="AS586" s="427"/>
      <c r="AT586" s="249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7"/>
      <c r="AS587" s="427"/>
      <c r="AT587" s="249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7"/>
      <c r="AS588" s="427"/>
      <c r="AT588" s="249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7"/>
      <c r="AS589" s="427"/>
      <c r="AT589" s="249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7"/>
      <c r="AS590" s="427"/>
      <c r="AT590" s="249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7"/>
      <c r="AS591" s="427"/>
      <c r="AT591" s="249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7"/>
      <c r="AS592" s="427"/>
      <c r="AT592" s="249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7"/>
      <c r="AS593" s="427"/>
      <c r="AT593" s="249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7"/>
      <c r="AS594" s="427"/>
      <c r="AT594" s="249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7"/>
      <c r="AS595" s="427"/>
      <c r="AT595" s="249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7"/>
      <c r="AS596" s="427"/>
      <c r="AT596" s="249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7"/>
      <c r="AS597" s="427"/>
      <c r="AT597" s="249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7"/>
      <c r="AS598" s="427"/>
      <c r="AT598" s="249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7"/>
      <c r="AS599" s="427"/>
      <c r="AT599" s="249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7"/>
      <c r="AS600" s="427"/>
      <c r="AT600" s="249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7"/>
      <c r="AS601" s="427"/>
      <c r="AT601" s="249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7"/>
      <c r="AS602" s="427"/>
      <c r="AT602" s="249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7"/>
      <c r="AS603" s="427"/>
      <c r="AT603" s="249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7"/>
      <c r="AS604" s="427"/>
      <c r="AT604" s="249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7"/>
      <c r="AS605" s="427"/>
      <c r="AT605" s="249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7"/>
      <c r="AS606" s="427"/>
      <c r="AT606" s="249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7"/>
      <c r="AS607" s="427"/>
      <c r="AT607" s="249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7"/>
      <c r="AS608" s="427"/>
      <c r="AT608" s="249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7"/>
      <c r="AS609" s="427"/>
      <c r="AT609" s="249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7"/>
      <c r="AS610" s="427"/>
      <c r="AT610" s="249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7"/>
      <c r="AS611" s="427"/>
      <c r="AT611" s="249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7"/>
      <c r="AS612" s="427"/>
      <c r="AT612" s="249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7"/>
      <c r="AS613" s="427"/>
      <c r="AT613" s="249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7"/>
      <c r="AS614" s="427"/>
      <c r="AT614" s="249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7"/>
      <c r="AS615" s="427"/>
      <c r="AT615" s="249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7"/>
      <c r="AS616" s="427"/>
      <c r="AT616" s="249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7"/>
      <c r="AS617" s="427"/>
      <c r="AT617" s="249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7"/>
      <c r="AS618" s="427"/>
      <c r="AT618" s="249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7"/>
      <c r="AS619" s="427"/>
      <c r="AT619" s="249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7"/>
      <c r="AS620" s="427"/>
      <c r="AT620" s="249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7"/>
      <c r="AS621" s="427"/>
      <c r="AT621" s="249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7"/>
      <c r="AS622" s="427"/>
      <c r="AT622" s="249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7"/>
      <c r="AS623" s="427"/>
      <c r="AT623" s="249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7"/>
      <c r="AS624" s="427"/>
      <c r="AT624" s="249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7"/>
      <c r="AS625" s="427"/>
      <c r="AT625" s="249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7"/>
      <c r="AS626" s="427"/>
      <c r="AT626" s="249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7"/>
      <c r="AS627" s="427"/>
      <c r="AT627" s="249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7"/>
      <c r="AS628" s="427"/>
      <c r="AT628" s="249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7"/>
      <c r="AS629" s="427"/>
      <c r="AT629" s="249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7"/>
      <c r="AS630" s="427"/>
      <c r="AT630" s="249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7"/>
      <c r="AS631" s="427"/>
      <c r="AT631" s="249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7"/>
      <c r="AS632" s="427"/>
      <c r="AT632" s="249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7"/>
      <c r="AS633" s="427"/>
      <c r="AT633" s="249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7"/>
      <c r="AS634" s="427"/>
      <c r="AT634" s="249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7"/>
      <c r="AS635" s="427"/>
      <c r="AT635" s="249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7"/>
      <c r="AS636" s="427"/>
      <c r="AT636" s="249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7"/>
      <c r="AS637" s="427"/>
      <c r="AT637" s="249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7"/>
      <c r="AS638" s="427"/>
      <c r="AT638" s="249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7"/>
      <c r="AS639" s="427"/>
      <c r="AT639" s="249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7"/>
      <c r="AS640" s="427"/>
      <c r="AT640" s="249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7"/>
      <c r="AS641" s="427"/>
      <c r="AT641" s="249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7"/>
      <c r="AS642" s="427"/>
      <c r="AT642" s="249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7"/>
      <c r="AS643" s="427"/>
      <c r="AT643" s="249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7"/>
      <c r="AS644" s="427"/>
      <c r="AT644" s="249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7"/>
      <c r="AS645" s="427"/>
      <c r="AT645" s="249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7"/>
      <c r="AS646" s="427"/>
      <c r="AT646" s="249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7"/>
      <c r="AS647" s="427"/>
      <c r="AT647" s="249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7"/>
      <c r="AS648" s="427"/>
      <c r="AT648" s="249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7"/>
      <c r="AS649" s="427"/>
      <c r="AT649" s="249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7"/>
      <c r="AS650" s="427"/>
      <c r="AT650" s="249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7"/>
      <c r="AS651" s="427"/>
      <c r="AT651" s="249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7"/>
      <c r="AS652" s="427"/>
      <c r="AT652" s="249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7"/>
      <c r="AS653" s="427"/>
      <c r="AT653" s="249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7"/>
      <c r="AS654" s="427"/>
      <c r="AT654" s="249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7"/>
      <c r="AS655" s="427"/>
      <c r="AT655" s="249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7"/>
      <c r="AS656" s="427"/>
      <c r="AT656" s="249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7"/>
      <c r="AS657" s="427"/>
      <c r="AT657" s="249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7"/>
      <c r="AS658" s="427"/>
      <c r="AT658" s="249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7"/>
      <c r="AS659" s="427"/>
      <c r="AT659" s="249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7"/>
      <c r="AS660" s="427"/>
      <c r="AT660" s="249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7"/>
      <c r="AS661" s="427"/>
      <c r="AT661" s="249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7"/>
      <c r="AS662" s="427"/>
      <c r="AT662" s="249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7"/>
      <c r="AS663" s="427"/>
      <c r="AT663" s="249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7"/>
      <c r="AS664" s="427"/>
      <c r="AT664" s="249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7"/>
      <c r="AS665" s="427"/>
      <c r="AT665" s="249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7"/>
      <c r="AS666" s="427"/>
      <c r="AT666" s="249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7"/>
      <c r="AS667" s="427"/>
      <c r="AT667" s="249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7"/>
      <c r="AS668" s="427"/>
      <c r="AT668" s="249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7"/>
      <c r="AS669" s="427"/>
      <c r="AT669" s="249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7"/>
      <c r="AS670" s="427"/>
      <c r="AT670" s="249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7"/>
      <c r="AS671" s="427"/>
      <c r="AT671" s="249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7"/>
      <c r="AS672" s="427"/>
      <c r="AT672" s="249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7"/>
      <c r="AS673" s="427"/>
      <c r="AT673" s="249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7"/>
      <c r="AS674" s="427"/>
      <c r="AT674" s="249"/>
    </row>
    <row r="675" spans="44:46" ht="13.5">
      <c r="AR675" s="427"/>
      <c r="AS675" s="427"/>
      <c r="AT675" s="249"/>
    </row>
    <row r="676" spans="44:46" ht="13.5">
      <c r="AR676" s="427"/>
      <c r="AS676" s="427"/>
      <c r="AT676" s="249"/>
    </row>
    <row r="677" spans="44:46" ht="13.5">
      <c r="AR677" s="427"/>
      <c r="AS677" s="427"/>
      <c r="AT677" s="249"/>
    </row>
    <row r="678" spans="44:46" ht="13.5">
      <c r="AR678" s="427"/>
      <c r="AS678" s="427"/>
      <c r="AT678" s="249"/>
    </row>
    <row r="679" spans="44:46" ht="13.5">
      <c r="AR679" s="427"/>
      <c r="AS679" s="427"/>
      <c r="AT679" s="249"/>
    </row>
    <row r="680" spans="44:46" ht="13.5">
      <c r="AR680" s="427"/>
      <c r="AS680" s="427"/>
      <c r="AT680" s="249"/>
    </row>
    <row r="681" spans="44:46" ht="13.5">
      <c r="AR681" s="427"/>
      <c r="AS681" s="427"/>
      <c r="AT681" s="249"/>
    </row>
    <row r="682" spans="44:46" ht="13.5">
      <c r="AR682" s="427"/>
      <c r="AS682" s="427"/>
      <c r="AT682" s="249"/>
    </row>
    <row r="683" spans="44:46" ht="13.5">
      <c r="AR683" s="427"/>
      <c r="AS683" s="427"/>
      <c r="AT683" s="249"/>
    </row>
    <row r="684" spans="44:46" ht="13.5">
      <c r="AR684" s="427"/>
      <c r="AS684" s="427"/>
      <c r="AT684" s="249"/>
    </row>
    <row r="685" spans="44:46" ht="13.5">
      <c r="AR685" s="427"/>
      <c r="AS685" s="427"/>
      <c r="AT685" s="249"/>
    </row>
    <row r="686" spans="44:46" ht="13.5">
      <c r="AR686" s="427"/>
      <c r="AS686" s="427"/>
      <c r="AT686" s="249"/>
    </row>
    <row r="687" spans="44:46" ht="13.5">
      <c r="AR687" s="427"/>
      <c r="AS687" s="427"/>
      <c r="AT687" s="249"/>
    </row>
    <row r="688" spans="44:46" ht="13.5">
      <c r="AR688" s="427"/>
      <c r="AS688" s="427"/>
      <c r="AT688" s="249"/>
    </row>
    <row r="689" spans="44:46" ht="13.5">
      <c r="AR689" s="427"/>
      <c r="AS689" s="427"/>
      <c r="AT689" s="249"/>
    </row>
    <row r="690" spans="44:46" ht="13.5">
      <c r="AR690" s="427"/>
      <c r="AS690" s="427"/>
      <c r="AT690" s="249"/>
    </row>
    <row r="691" spans="44:46" ht="13.5">
      <c r="AR691" s="427"/>
      <c r="AS691" s="427"/>
      <c r="AT691" s="249"/>
    </row>
    <row r="692" spans="44:46" ht="13.5">
      <c r="AR692" s="427"/>
      <c r="AS692" s="427"/>
      <c r="AT692" s="249"/>
    </row>
    <row r="693" spans="44:46" ht="13.5">
      <c r="AR693" s="427"/>
      <c r="AS693" s="427"/>
      <c r="AT693" s="249"/>
    </row>
    <row r="694" spans="44:46" ht="13.5">
      <c r="AR694" s="427"/>
      <c r="AS694" s="427"/>
      <c r="AT694" s="249"/>
    </row>
    <row r="695" spans="44:46" ht="13.5">
      <c r="AR695" s="427"/>
      <c r="AS695" s="427"/>
      <c r="AT695" s="249"/>
    </row>
    <row r="696" spans="44:46" ht="13.5">
      <c r="AR696" s="427"/>
      <c r="AS696" s="427"/>
      <c r="AT696" s="249"/>
    </row>
    <row r="697" spans="44:46" ht="13.5">
      <c r="AR697" s="427"/>
      <c r="AS697" s="427"/>
      <c r="AT697" s="249"/>
    </row>
    <row r="698" spans="44:46" ht="13.5">
      <c r="AR698" s="427"/>
      <c r="AS698" s="427"/>
      <c r="AT698" s="249"/>
    </row>
    <row r="699" spans="44:46" ht="13.5">
      <c r="AR699" s="427"/>
      <c r="AS699" s="427"/>
      <c r="AT699" s="249"/>
    </row>
    <row r="700" spans="44:46" ht="13.5">
      <c r="AR700" s="427"/>
      <c r="AS700" s="427"/>
      <c r="AT700" s="249"/>
    </row>
    <row r="701" spans="44:46" ht="13.5">
      <c r="AR701" s="427"/>
      <c r="AS701" s="427"/>
      <c r="AT701" s="249"/>
    </row>
    <row r="702" spans="44:46" ht="13.5">
      <c r="AR702" s="427"/>
      <c r="AS702" s="427"/>
      <c r="AT702" s="249"/>
    </row>
    <row r="703" spans="44:46" ht="13.5">
      <c r="AR703" s="427"/>
      <c r="AS703" s="427"/>
      <c r="AT703" s="249"/>
    </row>
    <row r="704" spans="44:46" ht="13.5">
      <c r="AR704" s="427"/>
      <c r="AS704" s="427"/>
      <c r="AT704" s="249"/>
    </row>
    <row r="705" spans="44:46" ht="13.5">
      <c r="AR705" s="427"/>
      <c r="AS705" s="427"/>
      <c r="AT705" s="249"/>
    </row>
    <row r="706" spans="44:46" ht="13.5">
      <c r="AR706" s="427"/>
      <c r="AS706" s="427"/>
      <c r="AT706" s="249"/>
    </row>
    <row r="707" spans="44:46" ht="13.5">
      <c r="AR707" s="427"/>
      <c r="AS707" s="427"/>
      <c r="AT707" s="249"/>
    </row>
    <row r="708" spans="44:46" ht="13.5">
      <c r="AR708" s="427"/>
      <c r="AS708" s="427"/>
      <c r="AT708" s="249"/>
    </row>
    <row r="709" spans="44:46" ht="13.5">
      <c r="AR709" s="427"/>
      <c r="AS709" s="427"/>
      <c r="AT709" s="249"/>
    </row>
    <row r="710" spans="44:46" ht="13.5">
      <c r="AR710" s="427"/>
      <c r="AS710" s="427"/>
      <c r="AT710" s="249"/>
    </row>
    <row r="711" spans="44:46" ht="13.5">
      <c r="AR711" s="427"/>
      <c r="AS711" s="427"/>
      <c r="AT711" s="249"/>
    </row>
    <row r="712" spans="44:46" ht="13.5">
      <c r="AR712" s="427"/>
      <c r="AS712" s="427"/>
      <c r="AT712" s="249"/>
    </row>
    <row r="713" spans="44:46" ht="13.5">
      <c r="AR713" s="427"/>
      <c r="AS713" s="427"/>
      <c r="AT713" s="249"/>
    </row>
    <row r="714" spans="44:46" ht="13.5">
      <c r="AR714" s="427"/>
      <c r="AS714" s="427"/>
      <c r="AT714" s="249"/>
    </row>
    <row r="715" spans="44:46" ht="13.5">
      <c r="AR715" s="427"/>
      <c r="AS715" s="427"/>
      <c r="AT715" s="249"/>
    </row>
    <row r="716" spans="44:46" ht="13.5">
      <c r="AR716" s="427"/>
      <c r="AS716" s="427"/>
      <c r="AT716" s="249"/>
    </row>
    <row r="717" spans="44:46" ht="13.5">
      <c r="AR717" s="427"/>
      <c r="AS717" s="427"/>
      <c r="AT717" s="249"/>
    </row>
    <row r="718" spans="44:46" ht="13.5">
      <c r="AR718" s="427"/>
      <c r="AS718" s="427"/>
      <c r="AT718" s="249"/>
    </row>
    <row r="719" spans="44:46" ht="13.5">
      <c r="AR719" s="427"/>
      <c r="AS719" s="427"/>
      <c r="AT719" s="249"/>
    </row>
    <row r="720" spans="44:46" ht="13.5">
      <c r="AR720" s="427"/>
      <c r="AS720" s="427"/>
      <c r="AT720" s="249"/>
    </row>
    <row r="721" spans="44:46" ht="13.5">
      <c r="AR721" s="427"/>
      <c r="AS721" s="427"/>
      <c r="AT721" s="249"/>
    </row>
    <row r="722" spans="44:46" ht="13.5">
      <c r="AR722" s="427"/>
      <c r="AS722" s="427"/>
      <c r="AT722" s="249"/>
    </row>
    <row r="723" spans="44:46" ht="13.5">
      <c r="AR723" s="427"/>
      <c r="AS723" s="427"/>
      <c r="AT723" s="249"/>
    </row>
    <row r="724" spans="44:46" ht="13.5">
      <c r="AR724" s="427"/>
      <c r="AS724" s="427"/>
      <c r="AT724" s="249"/>
    </row>
    <row r="725" spans="44:46" ht="13.5">
      <c r="AR725" s="427"/>
      <c r="AS725" s="427"/>
      <c r="AT725" s="249"/>
    </row>
    <row r="726" spans="44:46" ht="13.5">
      <c r="AR726" s="427"/>
      <c r="AS726" s="427"/>
      <c r="AT726" s="249"/>
    </row>
    <row r="727" spans="44:46" ht="13.5">
      <c r="AR727" s="427"/>
      <c r="AS727" s="427"/>
      <c r="AT727" s="249"/>
    </row>
    <row r="728" spans="44:46" ht="13.5">
      <c r="AR728" s="427"/>
      <c r="AS728" s="427"/>
      <c r="AT728" s="249"/>
    </row>
    <row r="729" spans="44:46" ht="13.5">
      <c r="AR729" s="427"/>
      <c r="AS729" s="427"/>
      <c r="AT729" s="249"/>
    </row>
    <row r="730" spans="44:46" ht="13.5">
      <c r="AR730" s="427"/>
      <c r="AS730" s="427"/>
      <c r="AT730" s="249"/>
    </row>
    <row r="731" spans="44:46" ht="13.5">
      <c r="AR731" s="427"/>
      <c r="AS731" s="427"/>
      <c r="AT731" s="249"/>
    </row>
    <row r="732" spans="44:46" ht="13.5">
      <c r="AR732" s="427"/>
      <c r="AS732" s="427"/>
      <c r="AT732" s="249"/>
    </row>
    <row r="733" spans="44:46" ht="13.5">
      <c r="AR733" s="427"/>
      <c r="AS733" s="427"/>
      <c r="AT733" s="249"/>
    </row>
    <row r="734" spans="44:46" ht="13.5">
      <c r="AR734" s="427"/>
      <c r="AS734" s="427"/>
      <c r="AT734" s="249"/>
    </row>
    <row r="735" spans="44:46" ht="13.5">
      <c r="AR735" s="427"/>
      <c r="AS735" s="427"/>
      <c r="AT735" s="249"/>
    </row>
    <row r="736" spans="44:46" ht="13.5">
      <c r="AR736" s="427"/>
      <c r="AS736" s="427"/>
      <c r="AT736" s="249"/>
    </row>
    <row r="737" spans="44:46" ht="13.5">
      <c r="AR737" s="427"/>
      <c r="AS737" s="427"/>
      <c r="AT737" s="249"/>
    </row>
    <row r="738" spans="44:46" ht="13.5">
      <c r="AR738" s="427"/>
      <c r="AS738" s="427"/>
      <c r="AT738" s="249"/>
    </row>
    <row r="739" spans="44:46" ht="13.5">
      <c r="AR739" s="427"/>
      <c r="AS739" s="427"/>
      <c r="AT739" s="249"/>
    </row>
    <row r="740" spans="44:46" ht="13.5">
      <c r="AR740" s="427"/>
      <c r="AS740" s="427"/>
      <c r="AT740" s="249"/>
    </row>
    <row r="741" spans="44:46" ht="13.5">
      <c r="AR741" s="427"/>
      <c r="AS741" s="427"/>
      <c r="AT741" s="249"/>
    </row>
    <row r="742" spans="44:46" ht="13.5">
      <c r="AR742" s="427"/>
      <c r="AS742" s="427"/>
      <c r="AT742" s="249"/>
    </row>
    <row r="743" spans="44:46" ht="13.5">
      <c r="AR743" s="427"/>
      <c r="AS743" s="427"/>
      <c r="AT743" s="249"/>
    </row>
    <row r="744" spans="44:46" ht="13.5">
      <c r="AR744" s="427"/>
      <c r="AS744" s="427"/>
      <c r="AT744" s="249"/>
    </row>
    <row r="745" spans="44:46" ht="13.5">
      <c r="AR745" s="427"/>
      <c r="AS745" s="427"/>
      <c r="AT745" s="249"/>
    </row>
    <row r="746" spans="44:46" ht="13.5">
      <c r="AR746" s="427"/>
      <c r="AS746" s="427"/>
      <c r="AT746" s="249"/>
    </row>
    <row r="747" spans="44:46" ht="13.5">
      <c r="AR747" s="427"/>
      <c r="AS747" s="427"/>
      <c r="AT747" s="249"/>
    </row>
    <row r="748" spans="44:46" ht="13.5">
      <c r="AR748" s="427"/>
      <c r="AS748" s="427"/>
      <c r="AT748" s="249"/>
    </row>
    <row r="749" spans="44:46" ht="13.5">
      <c r="AR749" s="427"/>
      <c r="AS749" s="427"/>
      <c r="AT749" s="249"/>
    </row>
    <row r="750" spans="44:46" ht="13.5">
      <c r="AR750" s="427"/>
      <c r="AS750" s="427"/>
      <c r="AT750" s="249"/>
    </row>
    <row r="751" spans="44:46" ht="13.5">
      <c r="AR751" s="427"/>
      <c r="AS751" s="427"/>
      <c r="AT751" s="249"/>
    </row>
    <row r="752" spans="44:46" ht="13.5">
      <c r="AR752" s="427"/>
      <c r="AS752" s="427"/>
      <c r="AT752" s="249"/>
    </row>
    <row r="753" spans="44:46" ht="13.5">
      <c r="AR753" s="427"/>
      <c r="AS753" s="427"/>
      <c r="AT753" s="249"/>
    </row>
    <row r="754" spans="44:46" ht="13.5">
      <c r="AR754" s="427"/>
      <c r="AS754" s="427"/>
      <c r="AT754" s="249"/>
    </row>
  </sheetData>
  <sheetProtection/>
  <mergeCells count="53"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  <mergeCell ref="G46:H46"/>
    <mergeCell ref="K47:L47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AB39:AC39"/>
    <mergeCell ref="AB23:AC24"/>
    <mergeCell ref="AB35:AC35"/>
    <mergeCell ref="AB36:AC36"/>
    <mergeCell ref="AB31:AC32"/>
    <mergeCell ref="AB34:AC34"/>
    <mergeCell ref="AB27:AC2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</mergeCells>
  <conditionalFormatting sqref="B3 B6 B44 L30 J17 L46 K53 G1">
    <cfRule type="cellIs" priority="1" dxfId="0" operator="greaterThan" stopIfTrue="1">
      <formula>1</formula>
    </cfRule>
  </conditionalFormatting>
  <dataValidations count="25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S10" sqref="S10"/>
    </sheetView>
  </sheetViews>
  <sheetFormatPr defaultColWidth="9.140625" defaultRowHeight="12.75"/>
  <cols>
    <col min="1" max="1" width="33.57421875" style="0" customWidth="1"/>
    <col min="2" max="2" width="5.8515625" style="219" customWidth="1"/>
    <col min="3" max="3" width="5.8515625" style="220" customWidth="1"/>
    <col min="4" max="4" width="5.28125" style="219" customWidth="1"/>
    <col min="5" max="5" width="5.28125" style="221" customWidth="1"/>
    <col min="6" max="6" width="4.421875" style="219" customWidth="1"/>
    <col min="7" max="7" width="0.85546875" style="222" customWidth="1"/>
    <col min="8" max="8" width="34.00390625" style="223" customWidth="1"/>
    <col min="9" max="9" width="6.00390625" style="224" customWidth="1"/>
    <col min="10" max="11" width="6.7109375" style="224" customWidth="1"/>
    <col min="12" max="12" width="1.1484375" style="222" customWidth="1"/>
    <col min="13" max="13" width="31.140625" style="223" customWidth="1"/>
    <col min="14" max="14" width="7.140625" style="219" customWidth="1"/>
    <col min="15" max="15" width="5.8515625" style="219" customWidth="1"/>
    <col min="16" max="16" width="6.7109375" style="224" customWidth="1"/>
    <col min="17" max="17" width="1.1484375" style="222" customWidth="1"/>
    <col min="18" max="18" width="31.8515625" style="225" customWidth="1"/>
    <col min="19" max="19" width="5.57421875" style="226" customWidth="1"/>
    <col min="20" max="20" width="75.28125" style="225" customWidth="1"/>
    <col min="21" max="21" width="34.7109375" style="225" customWidth="1"/>
    <col min="22" max="22" width="29.28125" style="225" customWidth="1"/>
    <col min="23" max="23" width="1.421875" style="222" customWidth="1"/>
    <col min="24" max="24" width="31.140625" style="223" customWidth="1"/>
    <col min="25" max="25" width="4.8515625" style="219" customWidth="1"/>
    <col min="26" max="26" width="6.57421875" style="219" customWidth="1"/>
    <col min="27" max="27" width="6.7109375" style="219" customWidth="1"/>
    <col min="28" max="28" width="92.7109375" style="223" customWidth="1"/>
    <col min="29" max="29" width="0.9921875" style="222" customWidth="1"/>
    <col min="30" max="30" width="24.140625" style="223" customWidth="1"/>
    <col min="31" max="31" width="5.421875" style="219" customWidth="1"/>
    <col min="32" max="32" width="58.57421875" style="223" customWidth="1"/>
    <col min="33" max="33" width="0.9921875" style="222" customWidth="1"/>
  </cols>
  <sheetData>
    <row r="1" spans="1:33" s="256" customFormat="1" ht="22.5" customHeight="1">
      <c r="A1" s="256" t="s">
        <v>88</v>
      </c>
      <c r="B1" s="251"/>
      <c r="C1" s="252"/>
      <c r="D1" s="251"/>
      <c r="E1" s="253"/>
      <c r="F1" s="251"/>
      <c r="G1" s="257"/>
      <c r="H1" s="255" t="s">
        <v>89</v>
      </c>
      <c r="I1" s="254"/>
      <c r="J1" s="254"/>
      <c r="K1" s="254"/>
      <c r="L1" s="257"/>
      <c r="M1" s="255" t="s">
        <v>90</v>
      </c>
      <c r="N1" s="251"/>
      <c r="O1" s="251"/>
      <c r="P1" s="254"/>
      <c r="Q1" s="257"/>
      <c r="R1" s="251" t="s">
        <v>91</v>
      </c>
      <c r="S1" s="255"/>
      <c r="T1" s="258"/>
      <c r="U1" s="251"/>
      <c r="V1" s="251"/>
      <c r="W1" s="257"/>
      <c r="X1" s="255" t="s">
        <v>92</v>
      </c>
      <c r="Y1" s="251"/>
      <c r="Z1" s="251"/>
      <c r="AA1" s="251"/>
      <c r="AB1" s="255"/>
      <c r="AC1" s="257"/>
      <c r="AD1" s="259" t="s">
        <v>93</v>
      </c>
      <c r="AE1" s="251"/>
      <c r="AF1" s="255"/>
      <c r="AG1" s="257"/>
    </row>
    <row r="2" spans="1:33" s="231" customFormat="1" ht="52.5" customHeight="1">
      <c r="A2" s="227" t="s">
        <v>94</v>
      </c>
      <c r="B2" s="228" t="s">
        <v>95</v>
      </c>
      <c r="C2" s="229" t="s">
        <v>96</v>
      </c>
      <c r="D2" s="228" t="s">
        <v>97</v>
      </c>
      <c r="E2" s="227" t="s">
        <v>98</v>
      </c>
      <c r="F2" s="228" t="s">
        <v>99</v>
      </c>
      <c r="G2" s="230"/>
      <c r="H2" s="297" t="s">
        <v>616</v>
      </c>
      <c r="I2" s="232" t="s">
        <v>100</v>
      </c>
      <c r="J2" s="232" t="s">
        <v>101</v>
      </c>
      <c r="K2" s="285" t="s">
        <v>642</v>
      </c>
      <c r="L2" s="230"/>
      <c r="M2" s="297" t="s">
        <v>617</v>
      </c>
      <c r="N2" s="228" t="s">
        <v>100</v>
      </c>
      <c r="O2" s="228" t="s">
        <v>101</v>
      </c>
      <c r="P2" s="285" t="s">
        <v>615</v>
      </c>
      <c r="Q2" s="230"/>
      <c r="R2" s="228" t="s">
        <v>102</v>
      </c>
      <c r="S2" s="231" t="s">
        <v>103</v>
      </c>
      <c r="T2" s="228" t="s">
        <v>104</v>
      </c>
      <c r="U2" s="228" t="s">
        <v>105</v>
      </c>
      <c r="V2" s="228" t="s">
        <v>106</v>
      </c>
      <c r="W2" s="230"/>
      <c r="X2" s="231" t="s">
        <v>94</v>
      </c>
      <c r="Y2" s="228" t="s">
        <v>107</v>
      </c>
      <c r="Z2" s="228" t="s">
        <v>108</v>
      </c>
      <c r="AA2" s="228" t="s">
        <v>109</v>
      </c>
      <c r="AB2" s="231" t="s">
        <v>110</v>
      </c>
      <c r="AC2" s="230"/>
      <c r="AD2" s="231" t="s">
        <v>94</v>
      </c>
      <c r="AE2" s="228" t="s">
        <v>32</v>
      </c>
      <c r="AF2" s="231" t="s">
        <v>111</v>
      </c>
      <c r="AG2" s="230"/>
    </row>
    <row r="3" spans="1:32" ht="12.75">
      <c r="A3" t="s">
        <v>112</v>
      </c>
      <c r="B3" s="219">
        <v>16</v>
      </c>
      <c r="C3" s="220">
        <f>IF(ISNUMBER(B3),(1+(B3/(258.6-0.87955*B3)))*1000,"")</f>
        <v>1065.432393615107</v>
      </c>
      <c r="D3" s="219">
        <v>6.8</v>
      </c>
      <c r="E3" s="221">
        <v>14</v>
      </c>
      <c r="F3" s="219">
        <v>24</v>
      </c>
      <c r="H3" s="233" t="s">
        <v>16</v>
      </c>
      <c r="I3" s="234"/>
      <c r="J3" s="234"/>
      <c r="K3" s="234"/>
      <c r="M3" s="233" t="s">
        <v>19</v>
      </c>
      <c r="N3" s="235"/>
      <c r="O3" s="235"/>
      <c r="P3" s="234"/>
      <c r="R3" s="236" t="s">
        <v>42</v>
      </c>
      <c r="S3" s="237"/>
      <c r="T3" s="238"/>
      <c r="U3" s="238"/>
      <c r="V3" s="238"/>
      <c r="X3" s="233" t="s">
        <v>113</v>
      </c>
      <c r="Y3" s="235">
        <v>73</v>
      </c>
      <c r="Z3" s="235">
        <v>106</v>
      </c>
      <c r="AA3" s="235">
        <v>20</v>
      </c>
      <c r="AB3" s="233" t="s">
        <v>114</v>
      </c>
      <c r="AD3" s="233" t="s">
        <v>41</v>
      </c>
      <c r="AE3" s="235" t="s">
        <v>115</v>
      </c>
      <c r="AF3" s="233" t="s">
        <v>115</v>
      </c>
    </row>
    <row r="4" spans="1:32" ht="12.75">
      <c r="A4" t="s">
        <v>116</v>
      </c>
      <c r="B4" s="219">
        <v>18.4</v>
      </c>
      <c r="C4" s="220">
        <f aca="true" t="shared" si="0" ref="C4:C56">IF(ISNUMBER(B4),(1+(B4/(258.6-0.87955*B4)))*1000,"")</f>
        <v>1075.902493017383</v>
      </c>
      <c r="D4" s="219">
        <v>8.3</v>
      </c>
      <c r="E4" s="221">
        <v>13</v>
      </c>
      <c r="F4" s="219">
        <v>31</v>
      </c>
      <c r="H4" s="233" t="s">
        <v>117</v>
      </c>
      <c r="I4" s="234">
        <v>80.07</v>
      </c>
      <c r="J4" s="234">
        <v>3</v>
      </c>
      <c r="K4" s="234">
        <v>100</v>
      </c>
      <c r="M4" s="261" t="s">
        <v>612</v>
      </c>
      <c r="N4" s="235">
        <v>99.5</v>
      </c>
      <c r="O4" s="235">
        <v>0.1</v>
      </c>
      <c r="P4" s="234">
        <v>100</v>
      </c>
      <c r="R4" s="238" t="s">
        <v>118</v>
      </c>
      <c r="S4" s="237">
        <v>14</v>
      </c>
      <c r="T4" s="238" t="s">
        <v>119</v>
      </c>
      <c r="U4" s="238" t="s">
        <v>120</v>
      </c>
      <c r="V4" s="238" t="s">
        <v>121</v>
      </c>
      <c r="X4" s="233" t="s">
        <v>122</v>
      </c>
      <c r="Y4" s="235">
        <v>71</v>
      </c>
      <c r="Z4" s="235">
        <v>107</v>
      </c>
      <c r="AA4" s="235">
        <v>20</v>
      </c>
      <c r="AB4" s="233" t="s">
        <v>123</v>
      </c>
      <c r="AD4" s="233" t="s">
        <v>124</v>
      </c>
      <c r="AE4" s="235" t="s">
        <v>125</v>
      </c>
      <c r="AF4" s="233" t="s">
        <v>126</v>
      </c>
    </row>
    <row r="5" spans="1:32" ht="12.75">
      <c r="A5" t="s">
        <v>127</v>
      </c>
      <c r="B5" s="219">
        <v>14.5</v>
      </c>
      <c r="C5" s="220">
        <f t="shared" si="0"/>
        <v>1058.9798859267992</v>
      </c>
      <c r="D5" s="219">
        <v>6.4</v>
      </c>
      <c r="E5" s="221">
        <v>18</v>
      </c>
      <c r="F5" s="219">
        <v>31</v>
      </c>
      <c r="H5" s="233" t="s">
        <v>128</v>
      </c>
      <c r="I5" s="234">
        <v>83.5</v>
      </c>
      <c r="J5" s="234">
        <v>2.7</v>
      </c>
      <c r="K5" s="234">
        <v>100</v>
      </c>
      <c r="M5" s="233" t="s">
        <v>129</v>
      </c>
      <c r="N5" s="235">
        <v>99.55</v>
      </c>
      <c r="O5" s="235">
        <v>30</v>
      </c>
      <c r="P5" s="234">
        <v>99.5</v>
      </c>
      <c r="R5" s="238" t="s">
        <v>130</v>
      </c>
      <c r="S5" s="237">
        <v>8.2</v>
      </c>
      <c r="T5" s="238" t="s">
        <v>131</v>
      </c>
      <c r="U5" s="238" t="s">
        <v>132</v>
      </c>
      <c r="V5" s="238" t="s">
        <v>133</v>
      </c>
      <c r="X5" s="233" t="s">
        <v>134</v>
      </c>
      <c r="Y5" s="235">
        <v>68</v>
      </c>
      <c r="Z5" s="235">
        <v>106</v>
      </c>
      <c r="AA5" s="235">
        <v>20</v>
      </c>
      <c r="AB5" s="233" t="s">
        <v>135</v>
      </c>
      <c r="AD5" s="233" t="s">
        <v>136</v>
      </c>
      <c r="AE5" s="235" t="s">
        <v>125</v>
      </c>
      <c r="AF5" s="233" t="s">
        <v>137</v>
      </c>
    </row>
    <row r="6" spans="1:32" ht="12.75">
      <c r="A6" t="s">
        <v>138</v>
      </c>
      <c r="B6" s="219">
        <v>15.6</v>
      </c>
      <c r="C6" s="220">
        <f t="shared" si="0"/>
        <v>1063.7049266205001</v>
      </c>
      <c r="D6" s="219">
        <v>6.6</v>
      </c>
      <c r="E6" s="221">
        <v>15</v>
      </c>
      <c r="F6" s="219">
        <v>25</v>
      </c>
      <c r="H6" s="233" t="s">
        <v>139</v>
      </c>
      <c r="I6" s="234">
        <v>75</v>
      </c>
      <c r="J6" s="234">
        <v>4</v>
      </c>
      <c r="K6" s="234">
        <v>100</v>
      </c>
      <c r="M6" s="233" t="s">
        <v>140</v>
      </c>
      <c r="N6" s="235">
        <v>99.55</v>
      </c>
      <c r="O6" s="235">
        <v>10.005021607606587</v>
      </c>
      <c r="P6" s="234">
        <v>100</v>
      </c>
      <c r="R6" s="238" t="s">
        <v>141</v>
      </c>
      <c r="S6" s="237">
        <v>6.4</v>
      </c>
      <c r="T6" s="238" t="s">
        <v>142</v>
      </c>
      <c r="U6" s="238" t="s">
        <v>143</v>
      </c>
      <c r="V6" s="238" t="s">
        <v>144</v>
      </c>
      <c r="X6" s="261" t="s">
        <v>646</v>
      </c>
      <c r="Y6" s="235">
        <v>90</v>
      </c>
      <c r="Z6" s="235">
        <v>107.5</v>
      </c>
      <c r="AA6" s="235" t="s">
        <v>584</v>
      </c>
      <c r="AB6" s="261" t="s">
        <v>585</v>
      </c>
      <c r="AD6" s="233" t="s">
        <v>146</v>
      </c>
      <c r="AE6" s="235" t="s">
        <v>147</v>
      </c>
      <c r="AF6" s="233" t="s">
        <v>148</v>
      </c>
    </row>
    <row r="7" spans="1:32" ht="12.75">
      <c r="A7" t="s">
        <v>149</v>
      </c>
      <c r="B7" s="219">
        <v>16.9</v>
      </c>
      <c r="C7" s="220">
        <f t="shared" si="0"/>
        <v>1069.3374281529364</v>
      </c>
      <c r="D7" s="219">
        <v>8.1</v>
      </c>
      <c r="E7" s="221">
        <v>65</v>
      </c>
      <c r="F7" s="219">
        <v>29</v>
      </c>
      <c r="H7" s="233" t="s">
        <v>150</v>
      </c>
      <c r="I7" s="234">
        <v>80.07</v>
      </c>
      <c r="J7" s="234">
        <v>8</v>
      </c>
      <c r="K7" s="234">
        <v>100</v>
      </c>
      <c r="M7" s="233" t="s">
        <v>151</v>
      </c>
      <c r="N7" s="235">
        <v>68</v>
      </c>
      <c r="O7" s="235">
        <v>100</v>
      </c>
      <c r="P7" s="234">
        <v>93</v>
      </c>
      <c r="R7" s="238" t="s">
        <v>152</v>
      </c>
      <c r="S7" s="237">
        <v>6</v>
      </c>
      <c r="T7" s="238" t="s">
        <v>153</v>
      </c>
      <c r="U7" s="238" t="s">
        <v>154</v>
      </c>
      <c r="V7" s="238" t="s">
        <v>155</v>
      </c>
      <c r="X7" s="261" t="s">
        <v>645</v>
      </c>
      <c r="Y7" s="235">
        <v>69</v>
      </c>
      <c r="Z7" s="235">
        <v>107</v>
      </c>
      <c r="AA7" s="235" t="s">
        <v>145</v>
      </c>
      <c r="AB7" s="261" t="s">
        <v>587</v>
      </c>
      <c r="AD7" s="233" t="s">
        <v>158</v>
      </c>
      <c r="AE7" s="235" t="s">
        <v>125</v>
      </c>
      <c r="AF7" s="233" t="s">
        <v>159</v>
      </c>
    </row>
    <row r="8" spans="1:32" ht="12.75">
      <c r="A8" t="s">
        <v>160</v>
      </c>
      <c r="B8" s="219">
        <v>21.5</v>
      </c>
      <c r="C8" s="220">
        <f t="shared" si="0"/>
        <v>1089.699316418198</v>
      </c>
      <c r="D8" s="219">
        <v>10</v>
      </c>
      <c r="E8" s="221">
        <v>78</v>
      </c>
      <c r="F8" s="219">
        <v>22</v>
      </c>
      <c r="H8" s="233" t="s">
        <v>161</v>
      </c>
      <c r="I8" s="234">
        <v>80.07</v>
      </c>
      <c r="J8" s="234">
        <v>15</v>
      </c>
      <c r="K8" s="234">
        <v>100</v>
      </c>
      <c r="M8" s="233" t="s">
        <v>162</v>
      </c>
      <c r="N8" s="235">
        <v>92.3</v>
      </c>
      <c r="O8" s="235">
        <v>0.1</v>
      </c>
      <c r="P8" s="234">
        <v>100</v>
      </c>
      <c r="R8" s="238" t="s">
        <v>647</v>
      </c>
      <c r="S8" s="237">
        <v>7.5</v>
      </c>
      <c r="T8" s="238" t="s">
        <v>163</v>
      </c>
      <c r="U8" s="238" t="s">
        <v>164</v>
      </c>
      <c r="V8" s="238" t="s">
        <v>165</v>
      </c>
      <c r="X8" s="261" t="s">
        <v>693</v>
      </c>
      <c r="Y8" s="235">
        <v>82</v>
      </c>
      <c r="Z8" s="235">
        <v>107</v>
      </c>
      <c r="AA8" s="235" t="s">
        <v>692</v>
      </c>
      <c r="AB8" s="261" t="s">
        <v>694</v>
      </c>
      <c r="AD8" s="233" t="s">
        <v>168</v>
      </c>
      <c r="AE8" s="235" t="s">
        <v>125</v>
      </c>
      <c r="AF8" s="233" t="s">
        <v>169</v>
      </c>
    </row>
    <row r="9" spans="1:32" ht="12.75">
      <c r="A9" t="s">
        <v>170</v>
      </c>
      <c r="B9" s="219">
        <v>18</v>
      </c>
      <c r="C9" s="220">
        <f t="shared" si="0"/>
        <v>1074.1448320434192</v>
      </c>
      <c r="D9" s="219">
        <v>8.5</v>
      </c>
      <c r="E9" s="221">
        <v>14</v>
      </c>
      <c r="F9" s="219">
        <v>28</v>
      </c>
      <c r="H9" s="233" t="s">
        <v>171</v>
      </c>
      <c r="I9" s="234">
        <v>80</v>
      </c>
      <c r="J9" s="234">
        <v>31.005141973052183</v>
      </c>
      <c r="K9" s="234">
        <v>99.5</v>
      </c>
      <c r="M9" s="261" t="s">
        <v>604</v>
      </c>
      <c r="N9" s="235">
        <v>69</v>
      </c>
      <c r="O9" s="235">
        <v>1</v>
      </c>
      <c r="P9" s="234">
        <v>23</v>
      </c>
      <c r="R9" s="238" t="s">
        <v>648</v>
      </c>
      <c r="S9" s="237">
        <v>8</v>
      </c>
      <c r="T9" s="238" t="s">
        <v>163</v>
      </c>
      <c r="U9" s="238" t="s">
        <v>164</v>
      </c>
      <c r="V9" s="238" t="s">
        <v>165</v>
      </c>
      <c r="X9" s="233" t="s">
        <v>156</v>
      </c>
      <c r="Y9" s="235">
        <v>78</v>
      </c>
      <c r="Z9" s="235">
        <v>107</v>
      </c>
      <c r="AA9" s="235">
        <v>11</v>
      </c>
      <c r="AB9" s="233" t="s">
        <v>157</v>
      </c>
      <c r="AD9" s="233" t="s">
        <v>179</v>
      </c>
      <c r="AE9" s="235" t="s">
        <v>125</v>
      </c>
      <c r="AF9" s="233" t="s">
        <v>180</v>
      </c>
    </row>
    <row r="10" spans="1:32" ht="12.75">
      <c r="A10" t="s">
        <v>181</v>
      </c>
      <c r="B10" s="219">
        <v>19.5</v>
      </c>
      <c r="C10" s="220">
        <f t="shared" si="0"/>
        <v>1080.7624722883766</v>
      </c>
      <c r="D10" s="219">
        <v>8</v>
      </c>
      <c r="E10" s="221">
        <v>12</v>
      </c>
      <c r="F10" s="219">
        <v>20</v>
      </c>
      <c r="H10" s="233" t="s">
        <v>182</v>
      </c>
      <c r="I10" s="234">
        <v>80.07</v>
      </c>
      <c r="J10" s="234">
        <v>49.057338814674104</v>
      </c>
      <c r="K10" s="234">
        <v>99.5</v>
      </c>
      <c r="M10" s="261" t="s">
        <v>603</v>
      </c>
      <c r="N10" s="235">
        <v>69</v>
      </c>
      <c r="O10" s="235">
        <v>1</v>
      </c>
      <c r="P10" s="234">
        <v>70</v>
      </c>
      <c r="R10" s="238" t="s">
        <v>173</v>
      </c>
      <c r="S10" s="237">
        <v>9.4</v>
      </c>
      <c r="T10" s="238" t="s">
        <v>174</v>
      </c>
      <c r="U10" s="238" t="s">
        <v>175</v>
      </c>
      <c r="V10" s="238" t="s">
        <v>176</v>
      </c>
      <c r="X10" s="233" t="s">
        <v>166</v>
      </c>
      <c r="Y10" s="235">
        <v>78</v>
      </c>
      <c r="Z10" s="235">
        <v>107</v>
      </c>
      <c r="AA10" s="235">
        <v>20</v>
      </c>
      <c r="AB10" s="233" t="s">
        <v>167</v>
      </c>
      <c r="AD10" s="233" t="s">
        <v>190</v>
      </c>
      <c r="AE10" s="235" t="s">
        <v>191</v>
      </c>
      <c r="AF10" s="233" t="s">
        <v>192</v>
      </c>
    </row>
    <row r="11" spans="1:32" ht="12.75">
      <c r="A11" t="s">
        <v>193</v>
      </c>
      <c r="B11" s="219">
        <v>14.9</v>
      </c>
      <c r="C11" s="220">
        <f t="shared" si="0"/>
        <v>1060.6937734156018</v>
      </c>
      <c r="D11" s="219">
        <v>7.1</v>
      </c>
      <c r="E11" s="221">
        <v>30</v>
      </c>
      <c r="F11" s="219">
        <v>20</v>
      </c>
      <c r="H11" s="233" t="s">
        <v>194</v>
      </c>
      <c r="I11" s="234">
        <v>70</v>
      </c>
      <c r="J11" s="234">
        <v>58</v>
      </c>
      <c r="K11" s="234">
        <v>99.5</v>
      </c>
      <c r="M11" s="261" t="s">
        <v>605</v>
      </c>
      <c r="N11" s="235">
        <v>69</v>
      </c>
      <c r="O11" s="235">
        <v>1</v>
      </c>
      <c r="P11" s="234">
        <v>87</v>
      </c>
      <c r="R11" s="238" t="s">
        <v>184</v>
      </c>
      <c r="S11" s="237">
        <v>7.5</v>
      </c>
      <c r="T11" s="238" t="s">
        <v>185</v>
      </c>
      <c r="U11" s="238" t="s">
        <v>186</v>
      </c>
      <c r="V11" s="238" t="s">
        <v>187</v>
      </c>
      <c r="X11" s="233" t="s">
        <v>177</v>
      </c>
      <c r="Y11" s="235">
        <v>78</v>
      </c>
      <c r="Z11" s="235">
        <v>107</v>
      </c>
      <c r="AA11" s="235">
        <v>20</v>
      </c>
      <c r="AB11" s="233" t="s">
        <v>178</v>
      </c>
      <c r="AD11" s="233" t="s">
        <v>201</v>
      </c>
      <c r="AE11" s="235" t="s">
        <v>125</v>
      </c>
      <c r="AF11" s="233" t="s">
        <v>202</v>
      </c>
    </row>
    <row r="12" spans="1:32" ht="12.75" customHeight="1">
      <c r="A12" t="s">
        <v>203</v>
      </c>
      <c r="B12" s="219">
        <v>16.9</v>
      </c>
      <c r="C12" s="220">
        <f t="shared" si="0"/>
        <v>1069.3374281529364</v>
      </c>
      <c r="D12" s="219">
        <v>8.2</v>
      </c>
      <c r="E12" s="221">
        <v>17</v>
      </c>
      <c r="F12" s="219">
        <v>35</v>
      </c>
      <c r="H12" s="261" t="s">
        <v>583</v>
      </c>
      <c r="I12" s="234">
        <v>77</v>
      </c>
      <c r="J12" s="234">
        <v>5</v>
      </c>
      <c r="K12" s="234">
        <v>98</v>
      </c>
      <c r="M12" s="261" t="s">
        <v>606</v>
      </c>
      <c r="N12" s="235">
        <v>69</v>
      </c>
      <c r="O12" s="235">
        <v>1</v>
      </c>
      <c r="P12" s="234">
        <v>76</v>
      </c>
      <c r="R12" s="238" t="s">
        <v>581</v>
      </c>
      <c r="S12" s="237">
        <v>15</v>
      </c>
      <c r="T12" s="238" t="s">
        <v>578</v>
      </c>
      <c r="U12" s="238" t="s">
        <v>579</v>
      </c>
      <c r="V12" s="238" t="s">
        <v>580</v>
      </c>
      <c r="X12" s="233" t="s">
        <v>188</v>
      </c>
      <c r="Y12" s="235">
        <v>68</v>
      </c>
      <c r="Z12" s="235">
        <v>107</v>
      </c>
      <c r="AA12" s="235">
        <v>20</v>
      </c>
      <c r="AB12" s="233" t="s">
        <v>189</v>
      </c>
      <c r="AD12" s="233" t="s">
        <v>211</v>
      </c>
      <c r="AE12" s="235" t="s">
        <v>147</v>
      </c>
      <c r="AF12" s="233" t="s">
        <v>212</v>
      </c>
    </row>
    <row r="13" spans="1:32" ht="12.75">
      <c r="A13" t="s">
        <v>213</v>
      </c>
      <c r="B13" s="219">
        <v>18.7</v>
      </c>
      <c r="C13" s="220">
        <f t="shared" si="0"/>
        <v>1077.224090455592</v>
      </c>
      <c r="D13" s="219">
        <v>9</v>
      </c>
      <c r="E13" s="221">
        <v>80</v>
      </c>
      <c r="F13" s="219">
        <v>35</v>
      </c>
      <c r="H13" s="233" t="s">
        <v>204</v>
      </c>
      <c r="I13" s="234">
        <v>76</v>
      </c>
      <c r="J13" s="234">
        <v>22</v>
      </c>
      <c r="K13" s="234">
        <v>97</v>
      </c>
      <c r="M13" s="261" t="s">
        <v>607</v>
      </c>
      <c r="N13" s="235">
        <v>69</v>
      </c>
      <c r="O13" s="235">
        <v>1</v>
      </c>
      <c r="P13" s="234">
        <v>97</v>
      </c>
      <c r="R13" s="238" t="s">
        <v>195</v>
      </c>
      <c r="S13" s="237">
        <v>5</v>
      </c>
      <c r="T13" s="238" t="s">
        <v>196</v>
      </c>
      <c r="U13" s="238" t="s">
        <v>197</v>
      </c>
      <c r="V13" s="238" t="s">
        <v>198</v>
      </c>
      <c r="X13" s="261" t="s">
        <v>586</v>
      </c>
      <c r="Y13" s="235">
        <v>75</v>
      </c>
      <c r="Z13" s="235">
        <v>107.5</v>
      </c>
      <c r="AA13" s="235">
        <v>20</v>
      </c>
      <c r="AB13" s="261" t="s">
        <v>587</v>
      </c>
      <c r="AD13" s="233" t="s">
        <v>222</v>
      </c>
      <c r="AE13" s="235" t="s">
        <v>125</v>
      </c>
      <c r="AF13" s="233" t="s">
        <v>223</v>
      </c>
    </row>
    <row r="14" spans="1:32" ht="12.75">
      <c r="A14" t="s">
        <v>224</v>
      </c>
      <c r="B14" s="219">
        <v>13.6</v>
      </c>
      <c r="C14" s="220">
        <f t="shared" si="0"/>
        <v>1055.1415166479537</v>
      </c>
      <c r="D14" s="219">
        <v>6.2</v>
      </c>
      <c r="E14" s="221">
        <v>25</v>
      </c>
      <c r="F14" s="219">
        <v>33</v>
      </c>
      <c r="H14" s="261" t="s">
        <v>672</v>
      </c>
      <c r="I14" s="234">
        <v>76</v>
      </c>
      <c r="J14" s="234">
        <v>35</v>
      </c>
      <c r="K14" s="234">
        <v>95</v>
      </c>
      <c r="M14" s="233" t="s">
        <v>172</v>
      </c>
      <c r="N14" s="235">
        <v>81</v>
      </c>
      <c r="O14" s="235">
        <v>2</v>
      </c>
      <c r="P14" s="234">
        <v>90</v>
      </c>
      <c r="R14" s="238" t="s">
        <v>206</v>
      </c>
      <c r="S14" s="237">
        <v>7.5</v>
      </c>
      <c r="T14" s="238" t="s">
        <v>207</v>
      </c>
      <c r="U14" s="238" t="s">
        <v>208</v>
      </c>
      <c r="V14" s="238" t="s">
        <v>198</v>
      </c>
      <c r="X14" s="233" t="s">
        <v>199</v>
      </c>
      <c r="Y14" s="235">
        <v>68</v>
      </c>
      <c r="Z14" s="235">
        <v>107</v>
      </c>
      <c r="AA14" s="235">
        <v>20</v>
      </c>
      <c r="AB14" s="233" t="s">
        <v>200</v>
      </c>
      <c r="AD14" s="233" t="s">
        <v>233</v>
      </c>
      <c r="AE14" s="235" t="s">
        <v>125</v>
      </c>
      <c r="AF14" s="233" t="s">
        <v>234</v>
      </c>
    </row>
    <row r="15" spans="1:32" ht="12.75">
      <c r="A15" t="s">
        <v>235</v>
      </c>
      <c r="B15" s="219">
        <v>7.5</v>
      </c>
      <c r="C15" s="220">
        <f t="shared" si="0"/>
        <v>1029.7615061703043</v>
      </c>
      <c r="D15" s="219">
        <v>7.8</v>
      </c>
      <c r="E15" s="221">
        <v>40</v>
      </c>
      <c r="F15" s="219">
        <v>18</v>
      </c>
      <c r="H15" s="233" t="s">
        <v>214</v>
      </c>
      <c r="I15" s="234">
        <v>76</v>
      </c>
      <c r="J15" s="234">
        <v>66</v>
      </c>
      <c r="K15" s="234">
        <v>92</v>
      </c>
      <c r="M15" s="233" t="s">
        <v>183</v>
      </c>
      <c r="N15" s="235">
        <v>79</v>
      </c>
      <c r="O15" s="235">
        <v>1.5</v>
      </c>
      <c r="P15" s="234">
        <v>90</v>
      </c>
      <c r="R15" s="238" t="s">
        <v>216</v>
      </c>
      <c r="S15" s="237">
        <v>4</v>
      </c>
      <c r="T15" s="238" t="s">
        <v>217</v>
      </c>
      <c r="U15" s="238" t="s">
        <v>218</v>
      </c>
      <c r="V15" s="238" t="s">
        <v>219</v>
      </c>
      <c r="X15" s="233" t="s">
        <v>209</v>
      </c>
      <c r="Y15" s="235">
        <v>70</v>
      </c>
      <c r="Z15" s="235">
        <v>107</v>
      </c>
      <c r="AA15" s="235">
        <v>21</v>
      </c>
      <c r="AB15" s="233" t="s">
        <v>210</v>
      </c>
      <c r="AD15" s="233" t="s">
        <v>243</v>
      </c>
      <c r="AE15" s="235" t="s">
        <v>125</v>
      </c>
      <c r="AF15" s="233" t="s">
        <v>244</v>
      </c>
    </row>
    <row r="16" spans="1:32" ht="12.75">
      <c r="A16" t="s">
        <v>245</v>
      </c>
      <c r="B16" s="219">
        <v>19</v>
      </c>
      <c r="C16" s="220">
        <f t="shared" si="0"/>
        <v>1078.5485712324953</v>
      </c>
      <c r="D16" s="219">
        <v>9.2</v>
      </c>
      <c r="E16" s="221">
        <v>63</v>
      </c>
      <c r="F16" s="219">
        <v>22</v>
      </c>
      <c r="H16" s="233" t="s">
        <v>225</v>
      </c>
      <c r="I16" s="234">
        <v>75</v>
      </c>
      <c r="J16" s="234">
        <v>120</v>
      </c>
      <c r="K16" s="234">
        <v>93</v>
      </c>
      <c r="M16" s="261" t="s">
        <v>611</v>
      </c>
      <c r="N16" s="235">
        <v>69</v>
      </c>
      <c r="O16" s="235">
        <v>0.1</v>
      </c>
      <c r="P16" s="234">
        <v>100</v>
      </c>
      <c r="R16" s="238" t="s">
        <v>227</v>
      </c>
      <c r="S16" s="237">
        <v>3</v>
      </c>
      <c r="T16" s="238" t="s">
        <v>228</v>
      </c>
      <c r="U16" s="238" t="s">
        <v>229</v>
      </c>
      <c r="V16" s="238" t="s">
        <v>230</v>
      </c>
      <c r="X16" s="233" t="s">
        <v>220</v>
      </c>
      <c r="Y16" s="235">
        <v>72</v>
      </c>
      <c r="Z16" s="235">
        <v>107</v>
      </c>
      <c r="AA16" s="235">
        <v>11</v>
      </c>
      <c r="AB16" s="233" t="s">
        <v>221</v>
      </c>
      <c r="AD16" s="233" t="s">
        <v>253</v>
      </c>
      <c r="AE16" s="235" t="s">
        <v>125</v>
      </c>
      <c r="AF16" s="233" t="s">
        <v>254</v>
      </c>
    </row>
    <row r="17" spans="1:32" ht="12.75">
      <c r="A17" t="s">
        <v>255</v>
      </c>
      <c r="B17" s="219">
        <v>23</v>
      </c>
      <c r="C17" s="220">
        <f t="shared" si="0"/>
        <v>1096.488510420864</v>
      </c>
      <c r="D17" s="219">
        <v>11.3</v>
      </c>
      <c r="E17" s="221">
        <v>90</v>
      </c>
      <c r="F17" s="219">
        <v>27</v>
      </c>
      <c r="H17" s="233" t="s">
        <v>236</v>
      </c>
      <c r="I17" s="234">
        <v>79</v>
      </c>
      <c r="J17" s="234">
        <v>150</v>
      </c>
      <c r="K17" s="234">
        <v>99.2</v>
      </c>
      <c r="M17" s="261" t="s">
        <v>610</v>
      </c>
      <c r="N17" s="235">
        <v>99.7</v>
      </c>
      <c r="O17" s="235">
        <v>0.1</v>
      </c>
      <c r="P17" s="234">
        <v>100</v>
      </c>
      <c r="R17" s="238" t="s">
        <v>237</v>
      </c>
      <c r="S17" s="237">
        <v>4.5</v>
      </c>
      <c r="T17" s="238" t="s">
        <v>238</v>
      </c>
      <c r="U17" s="238" t="s">
        <v>239</v>
      </c>
      <c r="V17" s="238" t="s">
        <v>240</v>
      </c>
      <c r="X17" s="233" t="s">
        <v>231</v>
      </c>
      <c r="Y17" s="235">
        <v>70</v>
      </c>
      <c r="Z17" s="235">
        <v>107</v>
      </c>
      <c r="AA17" s="235">
        <v>20</v>
      </c>
      <c r="AB17" s="233" t="s">
        <v>232</v>
      </c>
      <c r="AD17" s="233" t="s">
        <v>262</v>
      </c>
      <c r="AE17" s="235" t="s">
        <v>147</v>
      </c>
      <c r="AF17" s="233" t="s">
        <v>263</v>
      </c>
    </row>
    <row r="18" spans="1:32" ht="12.75">
      <c r="A18" t="s">
        <v>264</v>
      </c>
      <c r="B18" s="219">
        <v>15.6</v>
      </c>
      <c r="C18" s="220">
        <f t="shared" si="0"/>
        <v>1063.7049266205001</v>
      </c>
      <c r="D18" s="219">
        <v>7.3</v>
      </c>
      <c r="E18" s="221">
        <v>65</v>
      </c>
      <c r="F18" s="219">
        <v>25</v>
      </c>
      <c r="H18" s="233" t="s">
        <v>246</v>
      </c>
      <c r="I18" s="234">
        <v>76</v>
      </c>
      <c r="J18" s="234">
        <v>390</v>
      </c>
      <c r="K18" s="234">
        <v>88</v>
      </c>
      <c r="M18" s="233" t="s">
        <v>69</v>
      </c>
      <c r="N18" s="235">
        <v>100</v>
      </c>
      <c r="O18" s="235">
        <v>0.004500101328458176</v>
      </c>
      <c r="P18" s="234">
        <v>100</v>
      </c>
      <c r="R18" s="238" t="s">
        <v>247</v>
      </c>
      <c r="S18" s="237">
        <v>4.5</v>
      </c>
      <c r="T18" s="238" t="s">
        <v>248</v>
      </c>
      <c r="U18" s="238" t="s">
        <v>249</v>
      </c>
      <c r="V18" s="238" t="s">
        <v>250</v>
      </c>
      <c r="X18" s="233" t="s">
        <v>241</v>
      </c>
      <c r="Y18" s="235">
        <v>81</v>
      </c>
      <c r="Z18" s="235">
        <v>107</v>
      </c>
      <c r="AA18" s="235">
        <v>20</v>
      </c>
      <c r="AB18" s="233" t="s">
        <v>242</v>
      </c>
      <c r="AD18" s="233" t="s">
        <v>274</v>
      </c>
      <c r="AE18" s="235" t="s">
        <v>125</v>
      </c>
      <c r="AF18" s="261" t="s">
        <v>674</v>
      </c>
    </row>
    <row r="19" spans="1:32" ht="12.75" customHeight="1">
      <c r="A19" t="s">
        <v>275</v>
      </c>
      <c r="B19" s="219">
        <v>19.6</v>
      </c>
      <c r="C19" s="220">
        <f t="shared" si="0"/>
        <v>1081.206220628518</v>
      </c>
      <c r="D19" s="219">
        <v>9.6</v>
      </c>
      <c r="E19" s="221">
        <v>15</v>
      </c>
      <c r="F19" s="219">
        <v>39</v>
      </c>
      <c r="H19" s="233" t="s">
        <v>256</v>
      </c>
      <c r="I19" s="234">
        <v>75</v>
      </c>
      <c r="J19" s="234">
        <v>900</v>
      </c>
      <c r="K19" s="234">
        <v>85</v>
      </c>
      <c r="M19" s="261" t="s">
        <v>614</v>
      </c>
      <c r="N19" s="235">
        <v>90</v>
      </c>
      <c r="O19" s="235">
        <v>30</v>
      </c>
      <c r="P19" s="234">
        <v>55</v>
      </c>
      <c r="R19" s="238" t="s">
        <v>257</v>
      </c>
      <c r="S19" s="237">
        <v>6.5</v>
      </c>
      <c r="T19" s="238" t="s">
        <v>258</v>
      </c>
      <c r="U19" s="238" t="s">
        <v>259</v>
      </c>
      <c r="V19" s="238" t="s">
        <v>219</v>
      </c>
      <c r="X19" s="233" t="s">
        <v>251</v>
      </c>
      <c r="Y19" s="235">
        <v>77</v>
      </c>
      <c r="Z19" s="235">
        <v>107</v>
      </c>
      <c r="AA19" s="235">
        <v>11</v>
      </c>
      <c r="AB19" s="233" t="s">
        <v>252</v>
      </c>
      <c r="AD19" s="233" t="s">
        <v>284</v>
      </c>
      <c r="AE19" s="235" t="s">
        <v>125</v>
      </c>
      <c r="AF19" s="233" t="s">
        <v>285</v>
      </c>
    </row>
    <row r="20" spans="1:32" ht="12.75">
      <c r="A20" t="s">
        <v>286</v>
      </c>
      <c r="B20" s="219">
        <v>12.6</v>
      </c>
      <c r="C20" s="220">
        <f t="shared" si="0"/>
        <v>1050.9054565680099</v>
      </c>
      <c r="D20" s="219">
        <v>5.6</v>
      </c>
      <c r="E20" s="221">
        <v>9</v>
      </c>
      <c r="F20" s="219">
        <v>41</v>
      </c>
      <c r="H20" s="233" t="s">
        <v>265</v>
      </c>
      <c r="I20" s="234">
        <v>64.8</v>
      </c>
      <c r="J20" s="234">
        <v>1400</v>
      </c>
      <c r="K20" s="234">
        <v>70</v>
      </c>
      <c r="M20" s="233" t="s">
        <v>205</v>
      </c>
      <c r="N20" s="235">
        <v>90</v>
      </c>
      <c r="O20" s="235">
        <v>30</v>
      </c>
      <c r="P20" s="234">
        <v>55</v>
      </c>
      <c r="Q20" s="222">
        <v>2</v>
      </c>
      <c r="R20" s="238" t="s">
        <v>267</v>
      </c>
      <c r="S20" s="237">
        <v>5.5</v>
      </c>
      <c r="T20" s="238" t="s">
        <v>268</v>
      </c>
      <c r="U20" s="238" t="s">
        <v>269</v>
      </c>
      <c r="V20" s="238" t="s">
        <v>270</v>
      </c>
      <c r="X20" s="233" t="s">
        <v>260</v>
      </c>
      <c r="Y20" s="235">
        <v>78</v>
      </c>
      <c r="Z20" s="235">
        <v>107</v>
      </c>
      <c r="AA20" s="235">
        <v>20</v>
      </c>
      <c r="AB20" s="233" t="s">
        <v>261</v>
      </c>
      <c r="AD20" s="233" t="s">
        <v>295</v>
      </c>
      <c r="AE20" s="235" t="s">
        <v>296</v>
      </c>
      <c r="AF20" s="233" t="s">
        <v>297</v>
      </c>
    </row>
    <row r="21" spans="1:32" ht="12.75">
      <c r="A21" t="s">
        <v>298</v>
      </c>
      <c r="B21" s="219">
        <v>17.6</v>
      </c>
      <c r="C21" s="220">
        <f t="shared" si="0"/>
        <v>1072.3922581086733</v>
      </c>
      <c r="D21" s="219">
        <v>8.3</v>
      </c>
      <c r="E21" s="221">
        <v>72</v>
      </c>
      <c r="F21" s="219">
        <v>35</v>
      </c>
      <c r="H21" s="233" t="s">
        <v>276</v>
      </c>
      <c r="I21" s="234">
        <v>73.58</v>
      </c>
      <c r="J21" s="234">
        <v>4</v>
      </c>
      <c r="K21" s="234">
        <v>100</v>
      </c>
      <c r="M21" s="261" t="s">
        <v>608</v>
      </c>
      <c r="N21" s="235">
        <v>100</v>
      </c>
      <c r="O21" s="235">
        <v>1</v>
      </c>
      <c r="P21" s="234">
        <v>14</v>
      </c>
      <c r="R21" s="238" t="s">
        <v>278</v>
      </c>
      <c r="S21" s="237">
        <v>3.5</v>
      </c>
      <c r="T21" s="238" t="s">
        <v>279</v>
      </c>
      <c r="U21" s="238" t="s">
        <v>280</v>
      </c>
      <c r="V21" s="238" t="s">
        <v>281</v>
      </c>
      <c r="X21" s="233" t="s">
        <v>271</v>
      </c>
      <c r="Y21" s="235">
        <v>66</v>
      </c>
      <c r="Z21" s="235">
        <v>107</v>
      </c>
      <c r="AA21" s="235" t="s">
        <v>272</v>
      </c>
      <c r="AB21" s="233" t="s">
        <v>273</v>
      </c>
      <c r="AD21" s="233" t="s">
        <v>307</v>
      </c>
      <c r="AE21" s="235" t="s">
        <v>125</v>
      </c>
      <c r="AF21" s="233" t="s">
        <v>308</v>
      </c>
    </row>
    <row r="22" spans="1:32" ht="12.75">
      <c r="A22" t="s">
        <v>309</v>
      </c>
      <c r="B22" s="219">
        <v>21.5</v>
      </c>
      <c r="C22" s="220">
        <f t="shared" si="0"/>
        <v>1089.699316418198</v>
      </c>
      <c r="D22" s="219">
        <v>10.2</v>
      </c>
      <c r="E22" s="221">
        <v>79</v>
      </c>
      <c r="F22" s="219">
        <v>38</v>
      </c>
      <c r="H22" s="233" t="s">
        <v>287</v>
      </c>
      <c r="I22" s="234">
        <v>74.58</v>
      </c>
      <c r="J22" s="234">
        <v>1</v>
      </c>
      <c r="K22" s="234">
        <v>100</v>
      </c>
      <c r="M22" s="261" t="s">
        <v>602</v>
      </c>
      <c r="N22" s="235">
        <v>100</v>
      </c>
      <c r="O22" s="235">
        <v>1</v>
      </c>
      <c r="P22" s="234">
        <v>4.5</v>
      </c>
      <c r="R22" s="238" t="s">
        <v>289</v>
      </c>
      <c r="S22" s="237">
        <v>3.7</v>
      </c>
      <c r="T22" s="238" t="s">
        <v>290</v>
      </c>
      <c r="U22" s="238" t="s">
        <v>291</v>
      </c>
      <c r="V22" s="238" t="s">
        <v>292</v>
      </c>
      <c r="X22" s="233" t="s">
        <v>282</v>
      </c>
      <c r="Y22" s="235">
        <v>66</v>
      </c>
      <c r="Z22" s="235">
        <v>107</v>
      </c>
      <c r="AA22" s="235" t="s">
        <v>272</v>
      </c>
      <c r="AB22" s="233" t="s">
        <v>283</v>
      </c>
      <c r="AD22" s="233" t="s">
        <v>317</v>
      </c>
      <c r="AE22" s="235" t="s">
        <v>125</v>
      </c>
      <c r="AF22" s="233" t="s">
        <v>308</v>
      </c>
    </row>
    <row r="23" spans="1:32" ht="12.75">
      <c r="A23" t="s">
        <v>318</v>
      </c>
      <c r="B23" s="219">
        <v>19.2</v>
      </c>
      <c r="C23" s="220">
        <f t="shared" si="0"/>
        <v>1079.4331649350238</v>
      </c>
      <c r="D23" s="219">
        <v>8.9</v>
      </c>
      <c r="E23" s="221">
        <v>25</v>
      </c>
      <c r="F23" s="219">
        <v>30</v>
      </c>
      <c r="H23" s="233" t="s">
        <v>299</v>
      </c>
      <c r="I23" s="234">
        <v>82.8</v>
      </c>
      <c r="J23" s="234">
        <v>0.2</v>
      </c>
      <c r="K23" s="234">
        <v>100</v>
      </c>
      <c r="M23" s="233" t="s">
        <v>266</v>
      </c>
      <c r="N23" s="235">
        <v>99.5</v>
      </c>
      <c r="O23" s="235">
        <v>18</v>
      </c>
      <c r="P23" s="234">
        <v>70</v>
      </c>
      <c r="R23" s="238" t="s">
        <v>301</v>
      </c>
      <c r="S23" s="237">
        <v>14</v>
      </c>
      <c r="T23" s="238" t="s">
        <v>302</v>
      </c>
      <c r="U23" s="238" t="s">
        <v>303</v>
      </c>
      <c r="V23" s="238" t="s">
        <v>304</v>
      </c>
      <c r="X23" s="233" t="s">
        <v>293</v>
      </c>
      <c r="Y23" s="235">
        <v>66</v>
      </c>
      <c r="Z23" s="235">
        <v>107</v>
      </c>
      <c r="AA23" s="235" t="s">
        <v>272</v>
      </c>
      <c r="AB23" s="233" t="s">
        <v>294</v>
      </c>
      <c r="AD23" s="233" t="s">
        <v>326</v>
      </c>
      <c r="AE23" s="235" t="s">
        <v>125</v>
      </c>
      <c r="AF23" s="233" t="s">
        <v>327</v>
      </c>
    </row>
    <row r="24" spans="1:32" ht="12.75">
      <c r="A24" t="s">
        <v>328</v>
      </c>
      <c r="B24" s="219">
        <v>15.8</v>
      </c>
      <c r="C24" s="220">
        <f t="shared" si="0"/>
        <v>1064.5680392047325</v>
      </c>
      <c r="D24" s="219">
        <v>6.8</v>
      </c>
      <c r="E24" s="221">
        <v>18</v>
      </c>
      <c r="F24" s="219">
        <v>18</v>
      </c>
      <c r="H24" s="233" t="s">
        <v>310</v>
      </c>
      <c r="I24" s="234">
        <v>73.58</v>
      </c>
      <c r="J24" s="234">
        <v>3.7</v>
      </c>
      <c r="K24" s="234">
        <v>100</v>
      </c>
      <c r="M24" s="233" t="s">
        <v>277</v>
      </c>
      <c r="N24" s="235">
        <v>99.5</v>
      </c>
      <c r="O24" s="235">
        <v>95</v>
      </c>
      <c r="P24" s="234">
        <v>60</v>
      </c>
      <c r="R24" s="238" t="s">
        <v>312</v>
      </c>
      <c r="S24" s="237">
        <v>15</v>
      </c>
      <c r="T24" s="238" t="s">
        <v>313</v>
      </c>
      <c r="U24" s="238" t="s">
        <v>314</v>
      </c>
      <c r="V24" s="238" t="s">
        <v>219</v>
      </c>
      <c r="X24" s="233" t="s">
        <v>305</v>
      </c>
      <c r="Y24" s="235">
        <v>82</v>
      </c>
      <c r="Z24" s="235">
        <v>107.5</v>
      </c>
      <c r="AA24" s="235">
        <v>20</v>
      </c>
      <c r="AB24" s="233" t="s">
        <v>306</v>
      </c>
      <c r="AD24" s="233" t="s">
        <v>336</v>
      </c>
      <c r="AE24" s="235" t="s">
        <v>296</v>
      </c>
      <c r="AF24" s="233" t="s">
        <v>337</v>
      </c>
    </row>
    <row r="25" spans="1:32" ht="12.75">
      <c r="A25" t="s">
        <v>338</v>
      </c>
      <c r="B25" s="219">
        <v>10.7</v>
      </c>
      <c r="C25" s="220">
        <f t="shared" si="0"/>
        <v>1042.9393269517334</v>
      </c>
      <c r="D25" s="219">
        <v>4.5</v>
      </c>
      <c r="E25" s="221">
        <v>19</v>
      </c>
      <c r="F25" s="219">
        <v>30</v>
      </c>
      <c r="H25" s="233" t="s">
        <v>319</v>
      </c>
      <c r="I25" s="234">
        <v>74</v>
      </c>
      <c r="J25" s="234">
        <v>4</v>
      </c>
      <c r="K25" s="234">
        <v>100</v>
      </c>
      <c r="M25" s="233" t="s">
        <v>288</v>
      </c>
      <c r="N25" s="235">
        <v>99.5</v>
      </c>
      <c r="O25" s="235">
        <v>57</v>
      </c>
      <c r="P25" s="234">
        <v>65</v>
      </c>
      <c r="R25" s="238" t="s">
        <v>320</v>
      </c>
      <c r="S25" s="237">
        <v>15</v>
      </c>
      <c r="T25" s="238" t="s">
        <v>321</v>
      </c>
      <c r="U25" s="238" t="s">
        <v>322</v>
      </c>
      <c r="V25" s="238" t="s">
        <v>323</v>
      </c>
      <c r="X25" s="233" t="s">
        <v>315</v>
      </c>
      <c r="Y25" s="235">
        <v>80</v>
      </c>
      <c r="Z25" s="235">
        <v>107.5</v>
      </c>
      <c r="AA25" s="235">
        <v>20</v>
      </c>
      <c r="AB25" s="233" t="s">
        <v>316</v>
      </c>
      <c r="AD25" s="233" t="s">
        <v>346</v>
      </c>
      <c r="AE25" s="235" t="s">
        <v>125</v>
      </c>
      <c r="AF25" s="233" t="s">
        <v>347</v>
      </c>
    </row>
    <row r="26" spans="1:32" ht="12.75">
      <c r="A26" t="s">
        <v>348</v>
      </c>
      <c r="B26" s="219">
        <v>11.4</v>
      </c>
      <c r="C26" s="220">
        <f t="shared" si="0"/>
        <v>1045.861755049711</v>
      </c>
      <c r="D26" s="219">
        <v>4.8</v>
      </c>
      <c r="E26" s="221">
        <v>4</v>
      </c>
      <c r="F26" s="219">
        <v>38</v>
      </c>
      <c r="H26" s="233" t="s">
        <v>329</v>
      </c>
      <c r="I26" s="234">
        <v>73.58</v>
      </c>
      <c r="J26" s="234">
        <v>4</v>
      </c>
      <c r="K26" s="234">
        <v>100</v>
      </c>
      <c r="M26" s="233" t="s">
        <v>300</v>
      </c>
      <c r="N26" s="235">
        <v>99.5</v>
      </c>
      <c r="O26" s="235">
        <v>8</v>
      </c>
      <c r="P26" s="234">
        <v>75</v>
      </c>
      <c r="R26" s="238" t="s">
        <v>330</v>
      </c>
      <c r="S26" s="237">
        <v>9</v>
      </c>
      <c r="T26" s="238" t="s">
        <v>331</v>
      </c>
      <c r="U26" s="238" t="s">
        <v>332</v>
      </c>
      <c r="V26" s="238" t="s">
        <v>333</v>
      </c>
      <c r="X26" s="233" t="s">
        <v>324</v>
      </c>
      <c r="Y26" s="235">
        <v>82</v>
      </c>
      <c r="Z26" s="235">
        <v>107.5</v>
      </c>
      <c r="AA26" s="235" t="s">
        <v>272</v>
      </c>
      <c r="AB26" s="233" t="s">
        <v>325</v>
      </c>
      <c r="AD26" s="233" t="s">
        <v>355</v>
      </c>
      <c r="AE26" s="235" t="s">
        <v>147</v>
      </c>
      <c r="AF26" s="233" t="s">
        <v>356</v>
      </c>
    </row>
    <row r="27" spans="1:32" ht="12.75">
      <c r="A27" t="s">
        <v>357</v>
      </c>
      <c r="B27" s="219">
        <v>12.8</v>
      </c>
      <c r="C27" s="220">
        <f t="shared" si="0"/>
        <v>1051.7502584278532</v>
      </c>
      <c r="D27" s="219">
        <v>5.4</v>
      </c>
      <c r="E27" s="221">
        <v>9</v>
      </c>
      <c r="F27" s="219">
        <v>15</v>
      </c>
      <c r="H27" s="233" t="s">
        <v>339</v>
      </c>
      <c r="I27" s="234">
        <v>73.58</v>
      </c>
      <c r="J27" s="234">
        <v>4</v>
      </c>
      <c r="K27" s="234">
        <v>100</v>
      </c>
      <c r="M27" s="233" t="s">
        <v>311</v>
      </c>
      <c r="N27" s="235">
        <v>99.5</v>
      </c>
      <c r="O27" s="235">
        <v>79</v>
      </c>
      <c r="P27" s="234">
        <v>75</v>
      </c>
      <c r="R27" s="238" t="s">
        <v>340</v>
      </c>
      <c r="S27" s="237">
        <v>11</v>
      </c>
      <c r="T27" s="238" t="s">
        <v>341</v>
      </c>
      <c r="U27" s="238" t="s">
        <v>342</v>
      </c>
      <c r="V27" s="238" t="s">
        <v>343</v>
      </c>
      <c r="X27" s="233" t="s">
        <v>334</v>
      </c>
      <c r="Y27" s="235">
        <v>83</v>
      </c>
      <c r="Z27" s="235">
        <v>107.5</v>
      </c>
      <c r="AA27" s="235">
        <v>20</v>
      </c>
      <c r="AB27" s="233" t="s">
        <v>335</v>
      </c>
      <c r="AD27" s="233" t="s">
        <v>364</v>
      </c>
      <c r="AE27" s="235" t="s">
        <v>191</v>
      </c>
      <c r="AF27" s="233" t="s">
        <v>365</v>
      </c>
    </row>
    <row r="28" spans="1:32" ht="12.75">
      <c r="A28" t="s">
        <v>366</v>
      </c>
      <c r="B28" s="219">
        <v>16.5</v>
      </c>
      <c r="C28" s="220">
        <f t="shared" si="0"/>
        <v>1067.5987302500323</v>
      </c>
      <c r="D28" s="219">
        <v>7.7</v>
      </c>
      <c r="E28" s="221">
        <v>76</v>
      </c>
      <c r="F28" s="219">
        <v>26</v>
      </c>
      <c r="H28" s="233" t="s">
        <v>349</v>
      </c>
      <c r="I28" s="234">
        <v>85</v>
      </c>
      <c r="J28" s="234">
        <v>0.3</v>
      </c>
      <c r="K28" s="234">
        <v>100</v>
      </c>
      <c r="M28" s="233" t="s">
        <v>215</v>
      </c>
      <c r="N28" s="235">
        <v>97.38</v>
      </c>
      <c r="O28" s="235">
        <v>6</v>
      </c>
      <c r="P28" s="234">
        <v>100</v>
      </c>
      <c r="R28" s="238" t="s">
        <v>350</v>
      </c>
      <c r="S28" s="237">
        <v>6</v>
      </c>
      <c r="T28" s="238" t="s">
        <v>351</v>
      </c>
      <c r="U28" s="238" t="s">
        <v>352</v>
      </c>
      <c r="V28" s="238" t="s">
        <v>353</v>
      </c>
      <c r="X28" s="233" t="s">
        <v>344</v>
      </c>
      <c r="Y28" s="235">
        <v>82</v>
      </c>
      <c r="Z28" s="235">
        <v>107.5</v>
      </c>
      <c r="AA28" s="235">
        <v>21</v>
      </c>
      <c r="AB28" s="233" t="s">
        <v>345</v>
      </c>
      <c r="AD28" s="233" t="s">
        <v>374</v>
      </c>
      <c r="AE28" s="235" t="s">
        <v>375</v>
      </c>
      <c r="AF28" s="233" t="s">
        <v>376</v>
      </c>
    </row>
    <row r="29" spans="1:32" ht="12.75">
      <c r="A29" t="s">
        <v>377</v>
      </c>
      <c r="B29" s="219">
        <v>12</v>
      </c>
      <c r="C29" s="220">
        <f t="shared" si="0"/>
        <v>1048.378240435017</v>
      </c>
      <c r="D29" s="219">
        <v>5</v>
      </c>
      <c r="E29" s="221">
        <v>22</v>
      </c>
      <c r="F29" s="219">
        <v>24</v>
      </c>
      <c r="H29" s="233" t="s">
        <v>358</v>
      </c>
      <c r="I29" s="234">
        <v>64.92</v>
      </c>
      <c r="J29" s="234">
        <v>1000</v>
      </c>
      <c r="K29" s="234">
        <v>75</v>
      </c>
      <c r="M29" s="261" t="s">
        <v>613</v>
      </c>
      <c r="N29" s="235">
        <v>77</v>
      </c>
      <c r="O29" s="235">
        <v>3</v>
      </c>
      <c r="P29" s="234">
        <v>75</v>
      </c>
      <c r="R29" s="238" t="s">
        <v>359</v>
      </c>
      <c r="S29" s="237">
        <v>10</v>
      </c>
      <c r="T29" s="238" t="s">
        <v>360</v>
      </c>
      <c r="U29" s="238" t="s">
        <v>361</v>
      </c>
      <c r="V29" s="238" t="s">
        <v>362</v>
      </c>
      <c r="X29" s="233" t="s">
        <v>7</v>
      </c>
      <c r="Y29" s="235">
        <v>82</v>
      </c>
      <c r="Z29" s="235">
        <v>107.5</v>
      </c>
      <c r="AA29" s="235">
        <v>21</v>
      </c>
      <c r="AB29" s="233" t="s">
        <v>354</v>
      </c>
      <c r="AD29" s="233" t="s">
        <v>385</v>
      </c>
      <c r="AE29" s="235" t="s">
        <v>125</v>
      </c>
      <c r="AF29" s="233" t="s">
        <v>386</v>
      </c>
    </row>
    <row r="30" spans="1:32" ht="12.75">
      <c r="A30" t="s">
        <v>387</v>
      </c>
      <c r="B30" s="219">
        <v>14</v>
      </c>
      <c r="C30" s="220">
        <f t="shared" si="0"/>
        <v>1056.8444123769775</v>
      </c>
      <c r="D30" s="219">
        <v>6</v>
      </c>
      <c r="E30" s="221">
        <v>10</v>
      </c>
      <c r="F30" s="219">
        <v>28</v>
      </c>
      <c r="H30" s="233" t="s">
        <v>367</v>
      </c>
      <c r="I30" s="234">
        <v>80.5</v>
      </c>
      <c r="J30" s="234">
        <v>3</v>
      </c>
      <c r="K30" s="234">
        <v>100</v>
      </c>
      <c r="M30" s="233" t="s">
        <v>226</v>
      </c>
      <c r="N30" s="235">
        <v>73.58</v>
      </c>
      <c r="O30" s="235">
        <v>30</v>
      </c>
      <c r="P30" s="234">
        <v>100</v>
      </c>
      <c r="R30" s="238" t="s">
        <v>368</v>
      </c>
      <c r="S30" s="237">
        <v>9</v>
      </c>
      <c r="T30" s="238" t="s">
        <v>369</v>
      </c>
      <c r="U30" s="238" t="s">
        <v>370</v>
      </c>
      <c r="V30" s="238" t="s">
        <v>371</v>
      </c>
      <c r="X30" s="233" t="s">
        <v>324</v>
      </c>
      <c r="Y30" s="235">
        <v>82</v>
      </c>
      <c r="Z30" s="235">
        <v>107.5</v>
      </c>
      <c r="AA30" s="235" t="s">
        <v>363</v>
      </c>
      <c r="AB30" s="233" t="s">
        <v>325</v>
      </c>
      <c r="AD30" s="233" t="s">
        <v>395</v>
      </c>
      <c r="AE30" s="235" t="s">
        <v>125</v>
      </c>
      <c r="AF30" s="233" t="s">
        <v>396</v>
      </c>
    </row>
    <row r="31" spans="1:32" ht="12.75">
      <c r="A31" t="s">
        <v>397</v>
      </c>
      <c r="B31" s="219">
        <v>18.7</v>
      </c>
      <c r="C31" s="220">
        <f t="shared" si="0"/>
        <v>1077.224090455592</v>
      </c>
      <c r="D31" s="219">
        <v>8.1</v>
      </c>
      <c r="E31" s="221">
        <v>35</v>
      </c>
      <c r="F31" s="219">
        <v>60</v>
      </c>
      <c r="H31" s="233" t="s">
        <v>378</v>
      </c>
      <c r="I31" s="234">
        <v>84.4</v>
      </c>
      <c r="J31" s="234">
        <v>4</v>
      </c>
      <c r="K31" s="234">
        <v>100</v>
      </c>
      <c r="M31" s="261"/>
      <c r="N31" s="235"/>
      <c r="O31" s="235"/>
      <c r="P31" s="234"/>
      <c r="R31" s="238" t="s">
        <v>379</v>
      </c>
      <c r="S31" s="237">
        <v>7</v>
      </c>
      <c r="T31" s="238" t="s">
        <v>380</v>
      </c>
      <c r="U31" s="238" t="s">
        <v>381</v>
      </c>
      <c r="V31" s="238" t="s">
        <v>382</v>
      </c>
      <c r="X31" s="233" t="s">
        <v>372</v>
      </c>
      <c r="Y31" s="235">
        <v>82</v>
      </c>
      <c r="Z31" s="235">
        <v>107.5</v>
      </c>
      <c r="AA31" s="235">
        <v>21</v>
      </c>
      <c r="AB31" s="233" t="s">
        <v>373</v>
      </c>
      <c r="AD31" s="233"/>
      <c r="AE31" s="235"/>
      <c r="AF31" s="233"/>
    </row>
    <row r="32" spans="1:32" ht="12.75">
      <c r="A32" t="s">
        <v>405</v>
      </c>
      <c r="B32" s="219">
        <v>17</v>
      </c>
      <c r="C32" s="220">
        <f t="shared" si="0"/>
        <v>1069.7728872000203</v>
      </c>
      <c r="D32" s="219">
        <v>8.5</v>
      </c>
      <c r="E32" s="221">
        <v>11</v>
      </c>
      <c r="F32" s="219">
        <v>32</v>
      </c>
      <c r="H32" s="233" t="s">
        <v>388</v>
      </c>
      <c r="I32" s="234">
        <v>77</v>
      </c>
      <c r="J32" s="234">
        <v>4.006847491642186</v>
      </c>
      <c r="K32" s="234">
        <v>98</v>
      </c>
      <c r="M32" s="233"/>
      <c r="N32" s="235"/>
      <c r="O32" s="235"/>
      <c r="P32" s="234"/>
      <c r="R32" s="238" t="s">
        <v>389</v>
      </c>
      <c r="S32" s="237">
        <v>7</v>
      </c>
      <c r="T32" s="238" t="s">
        <v>390</v>
      </c>
      <c r="U32" s="238" t="s">
        <v>391</v>
      </c>
      <c r="V32" s="238" t="s">
        <v>392</v>
      </c>
      <c r="X32" s="233" t="s">
        <v>383</v>
      </c>
      <c r="Y32" s="235">
        <v>84</v>
      </c>
      <c r="Z32" s="235">
        <v>107.5</v>
      </c>
      <c r="AA32" s="235">
        <v>23</v>
      </c>
      <c r="AB32" s="233" t="s">
        <v>384</v>
      </c>
      <c r="AD32" s="233"/>
      <c r="AE32" s="235"/>
      <c r="AF32" s="233"/>
    </row>
    <row r="33" spans="1:32" ht="12.75">
      <c r="A33" t="s">
        <v>413</v>
      </c>
      <c r="B33" s="219">
        <v>16.3</v>
      </c>
      <c r="C33" s="220">
        <f t="shared" si="0"/>
        <v>1066.731259523661</v>
      </c>
      <c r="D33" s="219">
        <v>7.5</v>
      </c>
      <c r="E33" s="221">
        <v>15</v>
      </c>
      <c r="F33" s="219">
        <v>38</v>
      </c>
      <c r="H33" s="233" t="s">
        <v>398</v>
      </c>
      <c r="I33" s="234">
        <v>80.07</v>
      </c>
      <c r="J33" s="234">
        <v>5</v>
      </c>
      <c r="K33" s="234">
        <v>99.7</v>
      </c>
      <c r="M33" s="233"/>
      <c r="N33" s="235"/>
      <c r="O33" s="235"/>
      <c r="P33" s="234"/>
      <c r="R33" s="238" t="s">
        <v>399</v>
      </c>
      <c r="S33" s="237">
        <v>4.5</v>
      </c>
      <c r="T33" s="238" t="s">
        <v>400</v>
      </c>
      <c r="U33" s="238" t="s">
        <v>401</v>
      </c>
      <c r="V33" s="238" t="s">
        <v>402</v>
      </c>
      <c r="X33" s="233" t="s">
        <v>393</v>
      </c>
      <c r="Y33" s="235">
        <v>84</v>
      </c>
      <c r="Z33" s="235">
        <v>107.5</v>
      </c>
      <c r="AA33" s="235">
        <v>23</v>
      </c>
      <c r="AB33" s="233" t="s">
        <v>394</v>
      </c>
      <c r="AD33" s="233"/>
      <c r="AE33" s="235"/>
      <c r="AF33" s="233"/>
    </row>
    <row r="34" spans="1:32" ht="12.75">
      <c r="A34" t="s">
        <v>421</v>
      </c>
      <c r="B34" s="219">
        <v>12.6</v>
      </c>
      <c r="C34" s="220">
        <f t="shared" si="0"/>
        <v>1050.9054565680099</v>
      </c>
      <c r="D34" s="219">
        <v>5.3</v>
      </c>
      <c r="E34" s="221">
        <v>9</v>
      </c>
      <c r="F34" s="219">
        <v>18</v>
      </c>
      <c r="H34" s="233" t="s">
        <v>406</v>
      </c>
      <c r="I34" s="234">
        <v>85</v>
      </c>
      <c r="J34" s="234">
        <v>6</v>
      </c>
      <c r="K34" s="234">
        <v>100</v>
      </c>
      <c r="M34" s="233"/>
      <c r="N34" s="235"/>
      <c r="O34" s="235"/>
      <c r="P34" s="234"/>
      <c r="R34" s="238" t="s">
        <v>574</v>
      </c>
      <c r="S34" s="237">
        <v>13</v>
      </c>
      <c r="T34" s="238" t="s">
        <v>571</v>
      </c>
      <c r="U34" s="238" t="s">
        <v>572</v>
      </c>
      <c r="V34" s="238" t="s">
        <v>573</v>
      </c>
      <c r="X34" s="233" t="s">
        <v>403</v>
      </c>
      <c r="Y34" s="235">
        <v>90</v>
      </c>
      <c r="Z34" s="235">
        <v>107.5</v>
      </c>
      <c r="AA34" s="235">
        <v>24</v>
      </c>
      <c r="AB34" s="233" t="s">
        <v>404</v>
      </c>
      <c r="AD34" s="233"/>
      <c r="AE34" s="235"/>
      <c r="AF34" s="233"/>
    </row>
    <row r="35" spans="1:32" ht="12.75">
      <c r="A35" t="s">
        <v>429</v>
      </c>
      <c r="B35" s="219">
        <v>11.9</v>
      </c>
      <c r="C35" s="220">
        <f t="shared" si="0"/>
        <v>1047.9580828623382</v>
      </c>
      <c r="D35" s="219">
        <v>5</v>
      </c>
      <c r="E35" s="221">
        <v>3</v>
      </c>
      <c r="F35" s="219">
        <v>27</v>
      </c>
      <c r="H35" s="233" t="s">
        <v>414</v>
      </c>
      <c r="I35" s="234">
        <v>69.25</v>
      </c>
      <c r="J35" s="234">
        <v>6</v>
      </c>
      <c r="K35" s="234">
        <v>100</v>
      </c>
      <c r="M35" s="261" t="s">
        <v>702</v>
      </c>
      <c r="N35" s="235">
        <v>100</v>
      </c>
      <c r="O35" s="235">
        <v>9000</v>
      </c>
      <c r="P35" s="234">
        <v>0</v>
      </c>
      <c r="R35" s="238" t="s">
        <v>407</v>
      </c>
      <c r="S35" s="237">
        <v>5</v>
      </c>
      <c r="T35" s="238" t="s">
        <v>408</v>
      </c>
      <c r="U35" s="238" t="s">
        <v>409</v>
      </c>
      <c r="V35" s="238" t="s">
        <v>410</v>
      </c>
      <c r="X35" s="233" t="s">
        <v>411</v>
      </c>
      <c r="Y35" s="235">
        <v>75</v>
      </c>
      <c r="Z35" s="235">
        <v>107</v>
      </c>
      <c r="AA35" s="235">
        <v>16</v>
      </c>
      <c r="AB35" s="233" t="s">
        <v>412</v>
      </c>
      <c r="AD35" s="233"/>
      <c r="AE35" s="235"/>
      <c r="AF35" s="233"/>
    </row>
    <row r="36" spans="1:32" ht="12.75" customHeight="1">
      <c r="A36" t="s">
        <v>437</v>
      </c>
      <c r="B36" s="219">
        <v>11.9</v>
      </c>
      <c r="C36" s="220">
        <f t="shared" si="0"/>
        <v>1047.9580828623382</v>
      </c>
      <c r="D36" s="219">
        <v>4.6</v>
      </c>
      <c r="E36" s="221">
        <v>150</v>
      </c>
      <c r="F36" s="219">
        <v>45</v>
      </c>
      <c r="H36" s="233" t="s">
        <v>422</v>
      </c>
      <c r="I36" s="234">
        <v>80.07</v>
      </c>
      <c r="J36" s="234">
        <v>7</v>
      </c>
      <c r="K36" s="234">
        <v>100</v>
      </c>
      <c r="M36" s="233"/>
      <c r="N36" s="235"/>
      <c r="O36" s="235"/>
      <c r="P36" s="234"/>
      <c r="R36" s="238" t="s">
        <v>415</v>
      </c>
      <c r="S36" s="237">
        <v>4</v>
      </c>
      <c r="T36" s="238" t="s">
        <v>416</v>
      </c>
      <c r="U36" s="238" t="s">
        <v>417</v>
      </c>
      <c r="V36" s="238" t="s">
        <v>418</v>
      </c>
      <c r="X36" s="233" t="s">
        <v>419</v>
      </c>
      <c r="Y36" s="235">
        <v>76</v>
      </c>
      <c r="Z36" s="235">
        <v>107</v>
      </c>
      <c r="AA36" s="235">
        <v>19</v>
      </c>
      <c r="AB36" s="233" t="s">
        <v>420</v>
      </c>
      <c r="AD36" s="233"/>
      <c r="AE36" s="235"/>
      <c r="AF36" s="233"/>
    </row>
    <row r="37" spans="1:32" ht="12.75">
      <c r="A37" t="s">
        <v>444</v>
      </c>
      <c r="B37" s="219">
        <v>17.6</v>
      </c>
      <c r="C37" s="220">
        <f t="shared" si="0"/>
        <v>1072.3922581086733</v>
      </c>
      <c r="D37" s="219">
        <v>7.2</v>
      </c>
      <c r="E37" s="221">
        <v>150</v>
      </c>
      <c r="F37" s="219">
        <v>65</v>
      </c>
      <c r="H37" s="233" t="s">
        <v>430</v>
      </c>
      <c r="I37" s="234">
        <v>84.4</v>
      </c>
      <c r="J37" s="234">
        <v>20</v>
      </c>
      <c r="K37" s="234">
        <v>99.9</v>
      </c>
      <c r="M37" s="233"/>
      <c r="N37" s="235"/>
      <c r="O37" s="235"/>
      <c r="P37" s="234"/>
      <c r="R37" s="238" t="s">
        <v>423</v>
      </c>
      <c r="S37" s="237">
        <v>4</v>
      </c>
      <c r="T37" s="238" t="s">
        <v>424</v>
      </c>
      <c r="U37" s="238" t="s">
        <v>425</v>
      </c>
      <c r="V37" s="238" t="s">
        <v>426</v>
      </c>
      <c r="X37" s="233" t="s">
        <v>427</v>
      </c>
      <c r="Y37" s="235">
        <v>75</v>
      </c>
      <c r="Z37" s="235">
        <v>107</v>
      </c>
      <c r="AA37" s="235">
        <v>18</v>
      </c>
      <c r="AB37" s="233" t="s">
        <v>428</v>
      </c>
      <c r="AD37" s="233"/>
      <c r="AE37" s="235"/>
      <c r="AF37" s="233"/>
    </row>
    <row r="38" spans="1:32" ht="12.75" customHeight="1">
      <c r="A38" t="s">
        <v>452</v>
      </c>
      <c r="B38" s="219">
        <v>11.9</v>
      </c>
      <c r="C38" s="220">
        <f t="shared" si="0"/>
        <v>1047.9580828623382</v>
      </c>
      <c r="D38" s="219">
        <v>5</v>
      </c>
      <c r="E38" s="221">
        <v>5</v>
      </c>
      <c r="F38" s="219">
        <v>28</v>
      </c>
      <c r="H38" s="233" t="s">
        <v>438</v>
      </c>
      <c r="I38" s="234">
        <v>70</v>
      </c>
      <c r="J38" s="234">
        <v>25</v>
      </c>
      <c r="K38" s="234">
        <v>96</v>
      </c>
      <c r="M38" s="233"/>
      <c r="N38" s="235"/>
      <c r="O38" s="235"/>
      <c r="P38" s="234"/>
      <c r="R38" s="238" t="s">
        <v>431</v>
      </c>
      <c r="S38" s="237">
        <v>3.8</v>
      </c>
      <c r="T38" s="238" t="s">
        <v>432</v>
      </c>
      <c r="U38" s="238" t="s">
        <v>433</v>
      </c>
      <c r="V38" s="238" t="s">
        <v>434</v>
      </c>
      <c r="X38" s="233" t="s">
        <v>435</v>
      </c>
      <c r="Y38" s="235">
        <v>75</v>
      </c>
      <c r="Z38" s="235">
        <v>107</v>
      </c>
      <c r="AA38" s="235">
        <v>18</v>
      </c>
      <c r="AB38" s="233" t="s">
        <v>436</v>
      </c>
      <c r="AD38" s="233"/>
      <c r="AE38" s="235"/>
      <c r="AF38" s="233"/>
    </row>
    <row r="39" spans="1:32" ht="12.75">
      <c r="A39" t="s">
        <v>460</v>
      </c>
      <c r="B39" s="219">
        <v>11.9</v>
      </c>
      <c r="C39" s="220">
        <f t="shared" si="0"/>
        <v>1047.9580828623382</v>
      </c>
      <c r="D39" s="219">
        <v>5</v>
      </c>
      <c r="E39" s="221">
        <v>8</v>
      </c>
      <c r="F39" s="219">
        <v>18</v>
      </c>
      <c r="H39" s="233" t="s">
        <v>445</v>
      </c>
      <c r="I39" s="234">
        <v>70</v>
      </c>
      <c r="J39" s="234">
        <v>40</v>
      </c>
      <c r="K39" s="234">
        <v>95</v>
      </c>
      <c r="M39" s="233"/>
      <c r="N39" s="235"/>
      <c r="O39" s="235"/>
      <c r="P39" s="234"/>
      <c r="R39" s="238" t="s">
        <v>439</v>
      </c>
      <c r="S39" s="237">
        <v>11</v>
      </c>
      <c r="T39" s="238" t="s">
        <v>440</v>
      </c>
      <c r="U39" s="238" t="s">
        <v>441</v>
      </c>
      <c r="V39" s="238" t="s">
        <v>219</v>
      </c>
      <c r="X39" s="233" t="s">
        <v>442</v>
      </c>
      <c r="Y39" s="235">
        <v>73</v>
      </c>
      <c r="Z39" s="235">
        <v>107</v>
      </c>
      <c r="AA39" s="235">
        <v>19</v>
      </c>
      <c r="AB39" s="233" t="s">
        <v>443</v>
      </c>
      <c r="AD39" s="233"/>
      <c r="AE39" s="235"/>
      <c r="AF39" s="233"/>
    </row>
    <row r="40" spans="1:32" ht="12.75">
      <c r="A40" t="s">
        <v>467</v>
      </c>
      <c r="B40" s="219">
        <v>12.3</v>
      </c>
      <c r="C40" s="220">
        <f t="shared" si="0"/>
        <v>1049.6405028728232</v>
      </c>
      <c r="D40" s="219">
        <v>5.2</v>
      </c>
      <c r="E40" s="221">
        <v>3</v>
      </c>
      <c r="F40" s="219">
        <v>21</v>
      </c>
      <c r="H40" s="233" t="s">
        <v>453</v>
      </c>
      <c r="I40" s="234">
        <v>70</v>
      </c>
      <c r="J40" s="234">
        <v>60</v>
      </c>
      <c r="K40" s="234">
        <v>94</v>
      </c>
      <c r="M40" s="233"/>
      <c r="N40" s="235"/>
      <c r="O40" s="235"/>
      <c r="P40" s="234"/>
      <c r="R40" s="238" t="s">
        <v>446</v>
      </c>
      <c r="S40" s="237">
        <v>4</v>
      </c>
      <c r="T40" s="238" t="s">
        <v>447</v>
      </c>
      <c r="U40" s="238" t="s">
        <v>448</v>
      </c>
      <c r="V40" s="238" t="s">
        <v>449</v>
      </c>
      <c r="X40" s="233" t="s">
        <v>450</v>
      </c>
      <c r="Y40" s="235">
        <v>74</v>
      </c>
      <c r="Z40" s="235">
        <v>107</v>
      </c>
      <c r="AA40" s="235">
        <v>20</v>
      </c>
      <c r="AB40" s="233" t="s">
        <v>451</v>
      </c>
      <c r="AD40" s="233"/>
      <c r="AE40" s="235"/>
      <c r="AF40" s="233"/>
    </row>
    <row r="41" spans="1:32" ht="12.75">
      <c r="A41" t="s">
        <v>475</v>
      </c>
      <c r="B41" s="219">
        <v>12.8</v>
      </c>
      <c r="C41" s="220">
        <f t="shared" si="0"/>
        <v>1051.7502584278532</v>
      </c>
      <c r="D41" s="219">
        <v>5.3</v>
      </c>
      <c r="E41" s="221">
        <v>60</v>
      </c>
      <c r="F41" s="219">
        <v>20</v>
      </c>
      <c r="H41" s="233" t="s">
        <v>461</v>
      </c>
      <c r="I41" s="234">
        <v>80.07</v>
      </c>
      <c r="J41" s="234">
        <v>70</v>
      </c>
      <c r="K41" s="234">
        <v>99.5</v>
      </c>
      <c r="M41" s="233"/>
      <c r="N41" s="235"/>
      <c r="O41" s="235"/>
      <c r="P41" s="234"/>
      <c r="R41" s="238" t="s">
        <v>454</v>
      </c>
      <c r="S41" s="237">
        <v>5.5</v>
      </c>
      <c r="T41" s="238" t="s">
        <v>455</v>
      </c>
      <c r="U41" s="238" t="s">
        <v>456</v>
      </c>
      <c r="V41" s="238" t="s">
        <v>457</v>
      </c>
      <c r="X41" s="233" t="s">
        <v>458</v>
      </c>
      <c r="Y41" s="235">
        <v>70</v>
      </c>
      <c r="Z41" s="235">
        <v>106.5</v>
      </c>
      <c r="AA41" s="235">
        <v>21</v>
      </c>
      <c r="AB41" s="233" t="s">
        <v>459</v>
      </c>
      <c r="AD41" s="233"/>
      <c r="AE41" s="235"/>
      <c r="AF41" s="233"/>
    </row>
    <row r="42" spans="1:32" ht="12.75">
      <c r="A42" t="s">
        <v>483</v>
      </c>
      <c r="B42" s="219">
        <v>12.8</v>
      </c>
      <c r="C42" s="220">
        <f t="shared" si="0"/>
        <v>1051.7502584278532</v>
      </c>
      <c r="D42" s="219">
        <v>5.3</v>
      </c>
      <c r="E42" s="221">
        <v>60</v>
      </c>
      <c r="F42" s="219">
        <v>20</v>
      </c>
      <c r="H42" s="233" t="s">
        <v>468</v>
      </c>
      <c r="I42" s="234">
        <v>65</v>
      </c>
      <c r="J42" s="234">
        <v>800</v>
      </c>
      <c r="K42" s="234">
        <v>75</v>
      </c>
      <c r="M42" s="233"/>
      <c r="N42" s="235"/>
      <c r="O42" s="235"/>
      <c r="P42" s="234"/>
      <c r="R42" s="238" t="s">
        <v>462</v>
      </c>
      <c r="S42" s="237">
        <v>6.5</v>
      </c>
      <c r="T42" s="238" t="s">
        <v>463</v>
      </c>
      <c r="U42" s="238" t="s">
        <v>370</v>
      </c>
      <c r="V42" s="238" t="s">
        <v>464</v>
      </c>
      <c r="X42" s="233" t="s">
        <v>465</v>
      </c>
      <c r="Y42" s="235">
        <v>70</v>
      </c>
      <c r="Z42" s="235">
        <v>106.5</v>
      </c>
      <c r="AA42" s="235">
        <v>21</v>
      </c>
      <c r="AB42" s="233" t="s">
        <v>466</v>
      </c>
      <c r="AD42" s="233"/>
      <c r="AE42" s="235"/>
      <c r="AF42" s="233"/>
    </row>
    <row r="43" spans="1:32" ht="12.75">
      <c r="A43" t="s">
        <v>487</v>
      </c>
      <c r="B43" s="219">
        <v>12.8</v>
      </c>
      <c r="C43" s="220">
        <f t="shared" si="0"/>
        <v>1051.7502584278532</v>
      </c>
      <c r="D43" s="219">
        <v>5.4</v>
      </c>
      <c r="E43" s="221">
        <v>11</v>
      </c>
      <c r="F43" s="219">
        <v>24</v>
      </c>
      <c r="H43" s="233" t="s">
        <v>476</v>
      </c>
      <c r="I43" s="234">
        <v>65</v>
      </c>
      <c r="J43" s="234">
        <v>900</v>
      </c>
      <c r="K43" s="234">
        <v>75</v>
      </c>
      <c r="M43" s="233"/>
      <c r="N43" s="235"/>
      <c r="O43" s="235"/>
      <c r="P43" s="234"/>
      <c r="R43" s="238" t="s">
        <v>469</v>
      </c>
      <c r="S43" s="237">
        <v>5</v>
      </c>
      <c r="T43" s="238" t="s">
        <v>470</v>
      </c>
      <c r="U43" s="238" t="s">
        <v>471</v>
      </c>
      <c r="V43" s="238" t="s">
        <v>472</v>
      </c>
      <c r="X43" s="233" t="s">
        <v>473</v>
      </c>
      <c r="Y43" s="235">
        <v>86</v>
      </c>
      <c r="Z43" s="235">
        <v>107.5</v>
      </c>
      <c r="AA43" s="235">
        <v>21</v>
      </c>
      <c r="AB43" s="233" t="s">
        <v>474</v>
      </c>
      <c r="AD43" s="233"/>
      <c r="AE43" s="235"/>
      <c r="AF43" s="233"/>
    </row>
    <row r="44" spans="1:32" ht="12.75">
      <c r="A44" t="s">
        <v>490</v>
      </c>
      <c r="B44" s="219">
        <v>15.3</v>
      </c>
      <c r="C44" s="220">
        <f t="shared" si="0"/>
        <v>1062.4125803202487</v>
      </c>
      <c r="D44" s="219">
        <v>6.6</v>
      </c>
      <c r="E44" s="221">
        <v>50</v>
      </c>
      <c r="F44" s="219">
        <v>23</v>
      </c>
      <c r="H44" s="233" t="s">
        <v>484</v>
      </c>
      <c r="I44" s="234">
        <v>69.25</v>
      </c>
      <c r="J44" s="234">
        <v>1200</v>
      </c>
      <c r="K44" s="234">
        <v>70</v>
      </c>
      <c r="M44" s="233"/>
      <c r="N44" s="235"/>
      <c r="O44" s="235"/>
      <c r="P44" s="234"/>
      <c r="R44" s="238" t="s">
        <v>477</v>
      </c>
      <c r="S44" s="237">
        <v>10</v>
      </c>
      <c r="T44" s="238" t="s">
        <v>478</v>
      </c>
      <c r="U44" s="238" t="s">
        <v>479</v>
      </c>
      <c r="V44" s="238" t="s">
        <v>480</v>
      </c>
      <c r="X44" s="233" t="s">
        <v>481</v>
      </c>
      <c r="Y44" s="235">
        <v>74</v>
      </c>
      <c r="Z44" s="235">
        <v>107.5</v>
      </c>
      <c r="AA44" s="235">
        <v>19</v>
      </c>
      <c r="AB44" s="233" t="s">
        <v>482</v>
      </c>
      <c r="AD44" s="233"/>
      <c r="AE44" s="235"/>
      <c r="AF44" s="233"/>
    </row>
    <row r="45" spans="1:32" ht="12.75">
      <c r="A45" t="s">
        <v>493</v>
      </c>
      <c r="B45" s="219">
        <v>20</v>
      </c>
      <c r="C45" s="220">
        <f t="shared" si="0"/>
        <v>1082.9844528627561</v>
      </c>
      <c r="D45" s="219">
        <v>10.1</v>
      </c>
      <c r="E45" s="221">
        <v>11</v>
      </c>
      <c r="F45" s="219">
        <v>33</v>
      </c>
      <c r="H45" s="261" t="s">
        <v>577</v>
      </c>
      <c r="I45" s="234">
        <v>79</v>
      </c>
      <c r="J45" s="234">
        <v>5</v>
      </c>
      <c r="K45" s="234">
        <v>100</v>
      </c>
      <c r="M45" s="233"/>
      <c r="N45" s="235"/>
      <c r="O45" s="235"/>
      <c r="P45" s="234"/>
      <c r="R45" s="238"/>
      <c r="S45" s="237"/>
      <c r="T45" s="238"/>
      <c r="U45" s="238"/>
      <c r="V45" s="238"/>
      <c r="X45" s="233" t="s">
        <v>485</v>
      </c>
      <c r="Y45" s="235">
        <v>74</v>
      </c>
      <c r="Z45" s="235">
        <v>107.5</v>
      </c>
      <c r="AA45" s="235">
        <v>19</v>
      </c>
      <c r="AB45" s="233" t="s">
        <v>486</v>
      </c>
      <c r="AD45" s="233"/>
      <c r="AE45" s="235"/>
      <c r="AF45" s="233"/>
    </row>
    <row r="46" spans="1:32" ht="12.75">
      <c r="A46" t="s">
        <v>496</v>
      </c>
      <c r="B46" s="219">
        <v>11.4</v>
      </c>
      <c r="C46" s="220">
        <f t="shared" si="0"/>
        <v>1045.861755049711</v>
      </c>
      <c r="D46" s="219">
        <v>4.8</v>
      </c>
      <c r="E46" s="221">
        <v>3</v>
      </c>
      <c r="F46" s="219">
        <v>28</v>
      </c>
      <c r="H46" s="261"/>
      <c r="I46" s="234"/>
      <c r="J46" s="234"/>
      <c r="K46" s="234"/>
      <c r="M46" s="233"/>
      <c r="N46" s="235"/>
      <c r="O46" s="235"/>
      <c r="P46" s="234"/>
      <c r="R46" s="365" t="s">
        <v>655</v>
      </c>
      <c r="S46" s="366"/>
      <c r="T46" s="365" t="s">
        <v>658</v>
      </c>
      <c r="U46" s="238"/>
      <c r="V46" s="238"/>
      <c r="X46" s="233" t="s">
        <v>488</v>
      </c>
      <c r="Y46" s="235">
        <v>73</v>
      </c>
      <c r="Z46" s="235">
        <v>107</v>
      </c>
      <c r="AA46" s="235">
        <v>21</v>
      </c>
      <c r="AB46" s="233" t="s">
        <v>489</v>
      </c>
      <c r="AD46" s="233"/>
      <c r="AE46" s="235"/>
      <c r="AF46" s="233"/>
    </row>
    <row r="47" spans="1:32" ht="12.75" customHeight="1">
      <c r="A47" t="s">
        <v>498</v>
      </c>
      <c r="B47" s="219">
        <v>10.9</v>
      </c>
      <c r="C47" s="220">
        <f t="shared" si="0"/>
        <v>1043.772831773518</v>
      </c>
      <c r="D47" s="219">
        <v>5</v>
      </c>
      <c r="E47" s="221">
        <v>24</v>
      </c>
      <c r="F47" s="219">
        <v>50</v>
      </c>
      <c r="H47" s="233"/>
      <c r="I47" s="234"/>
      <c r="J47" s="234"/>
      <c r="K47" s="234"/>
      <c r="M47" s="233"/>
      <c r="N47" s="235"/>
      <c r="O47" s="235"/>
      <c r="P47" s="234"/>
      <c r="R47" s="238" t="s">
        <v>659</v>
      </c>
      <c r="S47" s="237">
        <v>11.5</v>
      </c>
      <c r="T47" s="238" t="s">
        <v>656</v>
      </c>
      <c r="U47" s="238"/>
      <c r="V47" s="238" t="s">
        <v>661</v>
      </c>
      <c r="X47" s="233" t="s">
        <v>491</v>
      </c>
      <c r="Y47" s="235">
        <v>75</v>
      </c>
      <c r="Z47" s="235">
        <v>107.5</v>
      </c>
      <c r="AA47" s="235">
        <v>21</v>
      </c>
      <c r="AB47" s="233" t="s">
        <v>492</v>
      </c>
      <c r="AD47" s="233"/>
      <c r="AE47" s="235"/>
      <c r="AF47" s="233"/>
    </row>
    <row r="48" spans="1:32" ht="14.25" customHeight="1">
      <c r="A48" t="s">
        <v>501</v>
      </c>
      <c r="B48" s="219">
        <v>15.8</v>
      </c>
      <c r="C48" s="220">
        <f t="shared" si="0"/>
        <v>1064.5680392047325</v>
      </c>
      <c r="D48" s="219">
        <v>7.4</v>
      </c>
      <c r="E48" s="221">
        <v>76</v>
      </c>
      <c r="F48" s="219">
        <v>26</v>
      </c>
      <c r="H48" s="233"/>
      <c r="I48" s="234"/>
      <c r="J48" s="234"/>
      <c r="K48" s="234"/>
      <c r="M48" s="233"/>
      <c r="N48" s="235"/>
      <c r="O48" s="235"/>
      <c r="P48" s="234"/>
      <c r="R48" s="238" t="s">
        <v>660</v>
      </c>
      <c r="S48" s="237">
        <v>10</v>
      </c>
      <c r="T48" s="238" t="s">
        <v>657</v>
      </c>
      <c r="U48" s="238"/>
      <c r="V48" s="238" t="s">
        <v>661</v>
      </c>
      <c r="X48" s="233" t="s">
        <v>494</v>
      </c>
      <c r="Y48" s="235">
        <v>69</v>
      </c>
      <c r="Z48" s="235">
        <v>106.5</v>
      </c>
      <c r="AA48" s="235">
        <v>20</v>
      </c>
      <c r="AB48" s="233" t="s">
        <v>495</v>
      </c>
      <c r="AD48" s="233"/>
      <c r="AE48" s="235"/>
      <c r="AF48" s="233"/>
    </row>
    <row r="49" spans="1:32" ht="12.75">
      <c r="A49" t="s">
        <v>504</v>
      </c>
      <c r="B49" s="219">
        <v>13.5</v>
      </c>
      <c r="C49" s="220">
        <f t="shared" si="0"/>
        <v>1054.7165515440556</v>
      </c>
      <c r="D49" s="219">
        <v>5.7</v>
      </c>
      <c r="E49" s="221">
        <v>32</v>
      </c>
      <c r="F49" s="219">
        <v>22</v>
      </c>
      <c r="H49" s="233"/>
      <c r="I49" s="234"/>
      <c r="J49" s="234"/>
      <c r="K49" s="234"/>
      <c r="M49" s="233"/>
      <c r="N49" s="235"/>
      <c r="O49" s="235"/>
      <c r="P49" s="234"/>
      <c r="R49" s="238"/>
      <c r="S49" s="237"/>
      <c r="T49" s="238"/>
      <c r="U49" s="238"/>
      <c r="V49" s="238"/>
      <c r="X49" s="233" t="s">
        <v>497</v>
      </c>
      <c r="Y49" s="235">
        <v>84</v>
      </c>
      <c r="Z49" s="235">
        <v>107.5</v>
      </c>
      <c r="AA49" s="235">
        <v>20</v>
      </c>
      <c r="AB49" s="261" t="s">
        <v>640</v>
      </c>
      <c r="AD49" s="233"/>
      <c r="AE49" s="235"/>
      <c r="AF49" s="233"/>
    </row>
    <row r="50" spans="1:32" ht="12.75">
      <c r="A50" t="s">
        <v>507</v>
      </c>
      <c r="B50" s="219">
        <v>17.4</v>
      </c>
      <c r="C50" s="220">
        <f t="shared" si="0"/>
        <v>1071.5178718846105</v>
      </c>
      <c r="D50" s="219">
        <v>7.5</v>
      </c>
      <c r="E50" s="221">
        <v>60</v>
      </c>
      <c r="F50" s="219">
        <v>30</v>
      </c>
      <c r="H50" s="233"/>
      <c r="I50" s="234"/>
      <c r="J50" s="234"/>
      <c r="K50" s="234"/>
      <c r="M50" s="233"/>
      <c r="N50" s="235"/>
      <c r="O50" s="235"/>
      <c r="P50" s="234"/>
      <c r="R50" s="238"/>
      <c r="S50" s="237"/>
      <c r="T50" s="238"/>
      <c r="U50" s="238"/>
      <c r="V50" s="238"/>
      <c r="X50" s="233" t="s">
        <v>499</v>
      </c>
      <c r="Y50" s="235">
        <v>71</v>
      </c>
      <c r="Z50" s="235">
        <v>107</v>
      </c>
      <c r="AA50" s="235">
        <v>18</v>
      </c>
      <c r="AB50" s="233" t="s">
        <v>500</v>
      </c>
      <c r="AD50" s="233"/>
      <c r="AE50" s="235"/>
      <c r="AF50" s="233"/>
    </row>
    <row r="51" spans="1:32" ht="12.75">
      <c r="A51" t="s">
        <v>510</v>
      </c>
      <c r="B51" s="219">
        <v>11.9</v>
      </c>
      <c r="C51" s="220">
        <f t="shared" si="0"/>
        <v>1047.9580828623382</v>
      </c>
      <c r="D51" s="219">
        <v>5</v>
      </c>
      <c r="E51" s="221">
        <v>6</v>
      </c>
      <c r="F51" s="219">
        <v>40</v>
      </c>
      <c r="H51" s="261" t="s">
        <v>691</v>
      </c>
      <c r="I51" s="234">
        <v>80</v>
      </c>
      <c r="J51" s="234">
        <v>10</v>
      </c>
      <c r="K51" s="234">
        <v>100</v>
      </c>
      <c r="M51" s="233"/>
      <c r="N51" s="235"/>
      <c r="O51" s="235"/>
      <c r="P51" s="234"/>
      <c r="R51" s="238"/>
      <c r="S51" s="237"/>
      <c r="T51" s="238"/>
      <c r="U51" s="238"/>
      <c r="V51" s="238"/>
      <c r="X51" s="233" t="s">
        <v>502</v>
      </c>
      <c r="Y51" s="235">
        <v>82</v>
      </c>
      <c r="Z51" s="235">
        <v>107.5</v>
      </c>
      <c r="AA51" s="235">
        <v>22</v>
      </c>
      <c r="AB51" s="233" t="s">
        <v>503</v>
      </c>
      <c r="AD51" s="233"/>
      <c r="AE51" s="235"/>
      <c r="AF51" s="233"/>
    </row>
    <row r="52" spans="1:32" ht="12.75">
      <c r="A52" t="s">
        <v>513</v>
      </c>
      <c r="B52" s="219">
        <v>12.3</v>
      </c>
      <c r="C52" s="220">
        <f t="shared" si="0"/>
        <v>1049.6405028728232</v>
      </c>
      <c r="D52" s="219">
        <v>5.2</v>
      </c>
      <c r="E52" s="221">
        <v>9</v>
      </c>
      <c r="F52" s="219">
        <v>18</v>
      </c>
      <c r="H52" s="233"/>
      <c r="I52" s="234"/>
      <c r="J52" s="234"/>
      <c r="K52" s="234"/>
      <c r="M52" s="233"/>
      <c r="N52" s="235"/>
      <c r="O52" s="235"/>
      <c r="P52" s="234"/>
      <c r="R52" s="238"/>
      <c r="S52" s="237"/>
      <c r="T52" s="238"/>
      <c r="U52" s="238"/>
      <c r="V52" s="238"/>
      <c r="X52" s="233" t="s">
        <v>505</v>
      </c>
      <c r="Y52" s="235">
        <v>69</v>
      </c>
      <c r="Z52" s="235">
        <v>106.5</v>
      </c>
      <c r="AA52" s="235">
        <v>20</v>
      </c>
      <c r="AB52" s="233" t="s">
        <v>506</v>
      </c>
      <c r="AD52" s="233"/>
      <c r="AE52" s="235"/>
      <c r="AF52" s="233"/>
    </row>
    <row r="53" spans="1:32" ht="13.5" customHeight="1">
      <c r="A53" t="s">
        <v>516</v>
      </c>
      <c r="B53" s="219">
        <v>11.9</v>
      </c>
      <c r="C53" s="220">
        <f t="shared" si="0"/>
        <v>1047.9580828623382</v>
      </c>
      <c r="D53" s="219">
        <v>4.8</v>
      </c>
      <c r="E53" s="221">
        <v>60</v>
      </c>
      <c r="F53" s="219">
        <v>14</v>
      </c>
      <c r="H53" s="233"/>
      <c r="I53" s="234"/>
      <c r="J53" s="234"/>
      <c r="K53" s="234"/>
      <c r="M53" s="233"/>
      <c r="N53" s="235"/>
      <c r="O53" s="235"/>
      <c r="P53" s="234"/>
      <c r="R53" s="238"/>
      <c r="S53" s="237"/>
      <c r="T53" s="238"/>
      <c r="U53" s="238"/>
      <c r="V53" s="238"/>
      <c r="X53" s="233" t="s">
        <v>508</v>
      </c>
      <c r="Y53" s="235">
        <v>73</v>
      </c>
      <c r="Z53" s="235">
        <v>107</v>
      </c>
      <c r="AA53" s="235">
        <v>11</v>
      </c>
      <c r="AB53" s="233" t="s">
        <v>509</v>
      </c>
      <c r="AD53" s="233"/>
      <c r="AE53" s="235"/>
      <c r="AF53" s="233"/>
    </row>
    <row r="54" spans="1:32" ht="12" customHeight="1">
      <c r="A54" t="s">
        <v>519</v>
      </c>
      <c r="B54" s="219">
        <v>15.8</v>
      </c>
      <c r="C54" s="220">
        <f t="shared" si="0"/>
        <v>1064.5680392047325</v>
      </c>
      <c r="D54" s="219">
        <v>6.6</v>
      </c>
      <c r="E54" s="221">
        <v>60</v>
      </c>
      <c r="F54" s="219">
        <v>14</v>
      </c>
      <c r="H54" s="233"/>
      <c r="I54" s="234"/>
      <c r="J54" s="234"/>
      <c r="K54" s="234"/>
      <c r="M54" s="233"/>
      <c r="N54" s="235"/>
      <c r="O54" s="235"/>
      <c r="P54" s="234"/>
      <c r="R54" s="238"/>
      <c r="S54" s="237"/>
      <c r="T54" s="238"/>
      <c r="U54" s="238"/>
      <c r="V54" s="238"/>
      <c r="X54" s="233" t="s">
        <v>511</v>
      </c>
      <c r="Y54" s="235">
        <v>73</v>
      </c>
      <c r="Z54" s="235">
        <v>107</v>
      </c>
      <c r="AA54" s="235">
        <v>11</v>
      </c>
      <c r="AB54" s="233" t="s">
        <v>512</v>
      </c>
      <c r="AD54" s="233"/>
      <c r="AE54" s="235"/>
      <c r="AF54" s="233"/>
    </row>
    <row r="55" spans="1:32" ht="12.75">
      <c r="A55" t="s">
        <v>522</v>
      </c>
      <c r="B55" s="219">
        <v>15.1</v>
      </c>
      <c r="C55" s="220">
        <f t="shared" si="0"/>
        <v>1061.5525606181134</v>
      </c>
      <c r="D55" s="219">
        <v>6.4</v>
      </c>
      <c r="E55" s="221">
        <v>35</v>
      </c>
      <c r="F55" s="219">
        <v>25</v>
      </c>
      <c r="H55" s="233"/>
      <c r="I55" s="234"/>
      <c r="J55" s="234"/>
      <c r="K55" s="234"/>
      <c r="M55" s="233"/>
      <c r="N55" s="235"/>
      <c r="O55" s="235"/>
      <c r="P55" s="234"/>
      <c r="R55" s="238"/>
      <c r="S55" s="237"/>
      <c r="T55" s="238"/>
      <c r="U55" s="238"/>
      <c r="V55" s="238"/>
      <c r="X55" s="233" t="s">
        <v>514</v>
      </c>
      <c r="Y55" s="235">
        <v>73</v>
      </c>
      <c r="Z55" s="235">
        <v>107</v>
      </c>
      <c r="AA55" s="235">
        <v>11</v>
      </c>
      <c r="AB55" s="233" t="s">
        <v>515</v>
      </c>
      <c r="AD55" s="233"/>
      <c r="AE55" s="235"/>
      <c r="AF55" s="233"/>
    </row>
    <row r="56" spans="1:32" ht="12.75">
      <c r="A56" t="s">
        <v>525</v>
      </c>
      <c r="B56" s="219">
        <v>19</v>
      </c>
      <c r="C56" s="220">
        <f t="shared" si="0"/>
        <v>1078.5485712324953</v>
      </c>
      <c r="D56" s="219">
        <v>8.5</v>
      </c>
      <c r="E56" s="221">
        <v>6</v>
      </c>
      <c r="F56" s="219">
        <v>27</v>
      </c>
      <c r="H56" s="233"/>
      <c r="I56" s="234"/>
      <c r="J56" s="234"/>
      <c r="K56" s="234"/>
      <c r="M56" s="233"/>
      <c r="N56" s="235"/>
      <c r="O56" s="235"/>
      <c r="P56" s="234"/>
      <c r="R56" s="238"/>
      <c r="S56" s="237"/>
      <c r="T56" s="238"/>
      <c r="U56" s="238"/>
      <c r="V56" s="238"/>
      <c r="X56" s="233" t="s">
        <v>517</v>
      </c>
      <c r="Y56" s="235">
        <v>77</v>
      </c>
      <c r="Z56" s="235">
        <v>107.5</v>
      </c>
      <c r="AA56" s="235">
        <v>12</v>
      </c>
      <c r="AB56" s="233" t="s">
        <v>518</v>
      </c>
      <c r="AD56" s="233"/>
      <c r="AE56" s="235"/>
      <c r="AF56" s="233"/>
    </row>
    <row r="57" spans="8:32" ht="12.75">
      <c r="H57" s="233"/>
      <c r="I57" s="234"/>
      <c r="J57" s="234"/>
      <c r="K57" s="234"/>
      <c r="M57" s="233"/>
      <c r="N57" s="235"/>
      <c r="O57" s="235"/>
      <c r="P57" s="234"/>
      <c r="R57" s="238"/>
      <c r="S57" s="237"/>
      <c r="T57" s="238"/>
      <c r="U57" s="238"/>
      <c r="V57" s="238"/>
      <c r="X57" s="233" t="s">
        <v>520</v>
      </c>
      <c r="Y57" s="235">
        <v>75</v>
      </c>
      <c r="Z57" s="235">
        <v>107.5</v>
      </c>
      <c r="AA57" s="235">
        <v>11</v>
      </c>
      <c r="AB57" s="233" t="s">
        <v>521</v>
      </c>
      <c r="AD57" s="233"/>
      <c r="AE57" s="235"/>
      <c r="AF57" s="233"/>
    </row>
    <row r="58" spans="8:32" ht="12.75">
      <c r="H58" s="233"/>
      <c r="I58" s="234"/>
      <c r="J58" s="234"/>
      <c r="K58" s="234"/>
      <c r="M58" s="233"/>
      <c r="N58" s="235"/>
      <c r="O58" s="235"/>
      <c r="P58" s="234"/>
      <c r="R58" s="238"/>
      <c r="S58" s="237"/>
      <c r="T58" s="238"/>
      <c r="U58" s="238"/>
      <c r="V58" s="238"/>
      <c r="X58" s="233" t="s">
        <v>523</v>
      </c>
      <c r="Y58" s="235">
        <v>69</v>
      </c>
      <c r="Z58" s="235">
        <v>106.5</v>
      </c>
      <c r="AA58" s="235">
        <v>17</v>
      </c>
      <c r="AB58" s="233" t="s">
        <v>524</v>
      </c>
      <c r="AD58" s="233"/>
      <c r="AE58" s="235"/>
      <c r="AF58" s="233"/>
    </row>
    <row r="59" spans="8:32" ht="12.75">
      <c r="H59" s="233"/>
      <c r="I59" s="234"/>
      <c r="J59" s="234"/>
      <c r="K59" s="234"/>
      <c r="M59" s="233"/>
      <c r="N59" s="235"/>
      <c r="O59" s="235"/>
      <c r="P59" s="234"/>
      <c r="R59" s="238"/>
      <c r="S59" s="237"/>
      <c r="T59" s="238"/>
      <c r="U59" s="238"/>
      <c r="V59" s="238"/>
      <c r="X59" s="233" t="s">
        <v>526</v>
      </c>
      <c r="Y59" s="235">
        <v>71</v>
      </c>
      <c r="Z59" s="235">
        <v>107</v>
      </c>
      <c r="AA59" s="235">
        <v>11</v>
      </c>
      <c r="AB59" s="233" t="s">
        <v>527</v>
      </c>
      <c r="AD59" s="233"/>
      <c r="AE59" s="235"/>
      <c r="AF59" s="233"/>
    </row>
    <row r="60" spans="8:32" ht="12.75">
      <c r="H60" s="233"/>
      <c r="I60" s="234"/>
      <c r="J60" s="234"/>
      <c r="K60" s="234"/>
      <c r="M60" s="233"/>
      <c r="N60" s="235"/>
      <c r="O60" s="235"/>
      <c r="P60" s="234"/>
      <c r="R60" s="238"/>
      <c r="S60" s="237"/>
      <c r="T60" s="238"/>
      <c r="U60" s="238"/>
      <c r="V60" s="238"/>
      <c r="X60" s="233" t="s">
        <v>528</v>
      </c>
      <c r="Y60" s="235">
        <v>75</v>
      </c>
      <c r="Z60" s="235">
        <v>107.5</v>
      </c>
      <c r="AA60" s="235">
        <v>11</v>
      </c>
      <c r="AB60" s="233" t="s">
        <v>529</v>
      </c>
      <c r="AD60" s="233"/>
      <c r="AE60" s="235"/>
      <c r="AF60" s="233"/>
    </row>
    <row r="61" spans="8:32" ht="12.75">
      <c r="H61" s="233"/>
      <c r="I61" s="234"/>
      <c r="J61" s="234"/>
      <c r="K61" s="234"/>
      <c r="M61" s="233"/>
      <c r="N61" s="235"/>
      <c r="O61" s="235"/>
      <c r="P61" s="234"/>
      <c r="R61" s="238"/>
      <c r="S61" s="237"/>
      <c r="T61" s="238"/>
      <c r="U61" s="238"/>
      <c r="V61" s="238"/>
      <c r="X61" s="233" t="s">
        <v>530</v>
      </c>
      <c r="Y61" s="235">
        <v>72</v>
      </c>
      <c r="Z61" s="235">
        <v>107.5</v>
      </c>
      <c r="AA61" s="235">
        <v>11</v>
      </c>
      <c r="AB61" s="233" t="s">
        <v>531</v>
      </c>
      <c r="AD61" s="233"/>
      <c r="AE61" s="235"/>
      <c r="AF61" s="233"/>
    </row>
    <row r="62" spans="8:32" ht="12.75">
      <c r="H62" s="233"/>
      <c r="I62" s="234"/>
      <c r="J62" s="234"/>
      <c r="K62" s="234"/>
      <c r="M62" s="233"/>
      <c r="N62" s="235"/>
      <c r="O62" s="235"/>
      <c r="P62" s="234"/>
      <c r="R62" s="238"/>
      <c r="S62" s="237"/>
      <c r="T62" s="238"/>
      <c r="U62" s="238"/>
      <c r="V62" s="238"/>
      <c r="X62" s="233" t="s">
        <v>532</v>
      </c>
      <c r="Y62" s="235">
        <v>75</v>
      </c>
      <c r="Z62" s="235">
        <v>107.5</v>
      </c>
      <c r="AA62" s="235">
        <v>11</v>
      </c>
      <c r="AB62" s="233" t="s">
        <v>533</v>
      </c>
      <c r="AD62" s="233"/>
      <c r="AE62" s="235"/>
      <c r="AF62" s="233"/>
    </row>
    <row r="63" spans="8:32" ht="12.75">
      <c r="H63" s="233"/>
      <c r="I63" s="234"/>
      <c r="J63" s="234"/>
      <c r="K63" s="234"/>
      <c r="M63" s="233"/>
      <c r="N63" s="235"/>
      <c r="O63" s="235"/>
      <c r="P63" s="234"/>
      <c r="R63" s="238"/>
      <c r="S63" s="237"/>
      <c r="T63" s="238"/>
      <c r="U63" s="238"/>
      <c r="V63" s="238"/>
      <c r="X63" s="233" t="s">
        <v>534</v>
      </c>
      <c r="Y63" s="235">
        <v>75</v>
      </c>
      <c r="Z63" s="235">
        <v>107.5</v>
      </c>
      <c r="AA63" s="235">
        <v>21</v>
      </c>
      <c r="AB63" s="233" t="s">
        <v>535</v>
      </c>
      <c r="AD63" s="233"/>
      <c r="AE63" s="235"/>
      <c r="AF63" s="233"/>
    </row>
    <row r="64" spans="8:32" ht="12.75">
      <c r="H64" s="233"/>
      <c r="I64" s="234"/>
      <c r="J64" s="234"/>
      <c r="K64" s="234"/>
      <c r="M64" s="233"/>
      <c r="N64" s="235"/>
      <c r="O64" s="235"/>
      <c r="P64" s="234"/>
      <c r="R64" s="238"/>
      <c r="S64" s="237"/>
      <c r="T64" s="238"/>
      <c r="U64" s="238"/>
      <c r="V64" s="238"/>
      <c r="X64" s="233" t="s">
        <v>536</v>
      </c>
      <c r="Y64" s="235">
        <v>76</v>
      </c>
      <c r="Z64" s="235">
        <v>107.5</v>
      </c>
      <c r="AA64" s="235">
        <v>22</v>
      </c>
      <c r="AB64" s="233" t="s">
        <v>537</v>
      </c>
      <c r="AD64" s="233"/>
      <c r="AE64" s="235"/>
      <c r="AF64" s="233"/>
    </row>
    <row r="65" spans="8:32" ht="12.75">
      <c r="H65" s="233"/>
      <c r="I65" s="234"/>
      <c r="J65" s="234"/>
      <c r="K65" s="234"/>
      <c r="M65" s="233"/>
      <c r="N65" s="235"/>
      <c r="O65" s="235"/>
      <c r="P65" s="234"/>
      <c r="R65" s="238"/>
      <c r="S65" s="237"/>
      <c r="T65" s="238"/>
      <c r="U65" s="238"/>
      <c r="V65" s="238"/>
      <c r="X65" s="233" t="s">
        <v>538</v>
      </c>
      <c r="Y65" s="235">
        <v>74</v>
      </c>
      <c r="Z65" s="235">
        <v>107.5</v>
      </c>
      <c r="AA65" s="235">
        <v>22</v>
      </c>
      <c r="AB65" s="233" t="s">
        <v>539</v>
      </c>
      <c r="AD65" s="233"/>
      <c r="AE65" s="235"/>
      <c r="AF65" s="233"/>
    </row>
    <row r="66" spans="8:32" ht="12.75">
      <c r="H66" s="233"/>
      <c r="I66" s="234"/>
      <c r="J66" s="234"/>
      <c r="K66" s="234"/>
      <c r="M66" s="233"/>
      <c r="N66" s="235"/>
      <c r="O66" s="235"/>
      <c r="P66" s="234"/>
      <c r="R66" s="238"/>
      <c r="S66" s="237"/>
      <c r="T66" s="238"/>
      <c r="U66" s="238"/>
      <c r="V66" s="238"/>
      <c r="X66" s="233" t="s">
        <v>540</v>
      </c>
      <c r="Y66" s="235">
        <v>77</v>
      </c>
      <c r="Z66" s="235">
        <v>107.5</v>
      </c>
      <c r="AA66" s="235">
        <v>21</v>
      </c>
      <c r="AB66" s="233" t="s">
        <v>541</v>
      </c>
      <c r="AD66" s="233"/>
      <c r="AE66" s="235"/>
      <c r="AF66" s="233"/>
    </row>
    <row r="67" spans="8:32" ht="12.75">
      <c r="H67" s="233"/>
      <c r="I67" s="234"/>
      <c r="J67" s="234"/>
      <c r="K67" s="234"/>
      <c r="M67" s="233"/>
      <c r="N67" s="235"/>
      <c r="O67" s="235"/>
      <c r="P67" s="234"/>
      <c r="R67" s="238"/>
      <c r="S67" s="237"/>
      <c r="T67" s="238"/>
      <c r="U67" s="238"/>
      <c r="V67" s="238"/>
      <c r="X67" s="233" t="s">
        <v>542</v>
      </c>
      <c r="Y67" s="235">
        <v>86</v>
      </c>
      <c r="Z67" s="235">
        <v>107.5</v>
      </c>
      <c r="AA67" s="235">
        <v>24</v>
      </c>
      <c r="AB67" s="233" t="s">
        <v>543</v>
      </c>
      <c r="AD67" s="233"/>
      <c r="AE67" s="235"/>
      <c r="AF67" s="233"/>
    </row>
    <row r="68" spans="8:32" ht="12.75">
      <c r="H68" s="233"/>
      <c r="I68" s="234"/>
      <c r="J68" s="234"/>
      <c r="K68" s="234"/>
      <c r="M68" s="233"/>
      <c r="N68" s="235"/>
      <c r="O68" s="235"/>
      <c r="P68" s="234"/>
      <c r="R68" s="238"/>
      <c r="S68" s="237"/>
      <c r="T68" s="238"/>
      <c r="U68" s="238"/>
      <c r="V68" s="238"/>
      <c r="X68" s="233" t="s">
        <v>544</v>
      </c>
      <c r="Y68" s="235">
        <v>80</v>
      </c>
      <c r="Z68" s="235">
        <v>107.5</v>
      </c>
      <c r="AA68" s="235">
        <v>23</v>
      </c>
      <c r="AB68" s="233" t="s">
        <v>545</v>
      </c>
      <c r="AD68" s="233"/>
      <c r="AE68" s="235"/>
      <c r="AF68" s="233"/>
    </row>
    <row r="69" spans="8:32" ht="12.75">
      <c r="H69" s="233"/>
      <c r="I69" s="234"/>
      <c r="J69" s="234"/>
      <c r="K69" s="234"/>
      <c r="M69" s="233"/>
      <c r="N69" s="235"/>
      <c r="O69" s="235"/>
      <c r="P69" s="234"/>
      <c r="R69" s="238"/>
      <c r="S69" s="237"/>
      <c r="T69" s="238"/>
      <c r="U69" s="238"/>
      <c r="V69" s="238"/>
      <c r="X69" s="233" t="s">
        <v>546</v>
      </c>
      <c r="Y69" s="235">
        <v>75</v>
      </c>
      <c r="Z69" s="235">
        <v>107.5</v>
      </c>
      <c r="AA69" s="235">
        <v>22</v>
      </c>
      <c r="AB69" s="233" t="s">
        <v>547</v>
      </c>
      <c r="AD69" s="233"/>
      <c r="AE69" s="235"/>
      <c r="AF69" s="233"/>
    </row>
    <row r="70" spans="8:32" ht="12.75">
      <c r="H70" s="233"/>
      <c r="I70" s="234"/>
      <c r="J70" s="234"/>
      <c r="K70" s="234"/>
      <c r="M70" s="233"/>
      <c r="N70" s="235"/>
      <c r="O70" s="235"/>
      <c r="P70" s="234"/>
      <c r="R70" s="238"/>
      <c r="S70" s="237"/>
      <c r="T70" s="238"/>
      <c r="U70" s="238"/>
      <c r="V70" s="238"/>
      <c r="X70" s="233" t="s">
        <v>548</v>
      </c>
      <c r="Y70" s="235">
        <v>79</v>
      </c>
      <c r="Z70" s="235">
        <v>107.5</v>
      </c>
      <c r="AA70" s="235">
        <v>20</v>
      </c>
      <c r="AB70" s="233" t="s">
        <v>549</v>
      </c>
      <c r="AD70" s="233"/>
      <c r="AE70" s="235"/>
      <c r="AF70" s="233"/>
    </row>
    <row r="71" spans="8:32" ht="12.75">
      <c r="H71" s="233"/>
      <c r="I71" s="234"/>
      <c r="J71" s="234"/>
      <c r="K71" s="234"/>
      <c r="M71" s="233"/>
      <c r="N71" s="235"/>
      <c r="O71" s="235"/>
      <c r="P71" s="234"/>
      <c r="R71" s="238"/>
      <c r="S71" s="237"/>
      <c r="T71" s="238"/>
      <c r="U71" s="238"/>
      <c r="V71" s="238"/>
      <c r="X71" s="233" t="s">
        <v>550</v>
      </c>
      <c r="Y71" s="235">
        <v>84</v>
      </c>
      <c r="Z71" s="235">
        <v>107.5</v>
      </c>
      <c r="AA71" s="235" t="s">
        <v>551</v>
      </c>
      <c r="AB71" s="233" t="s">
        <v>552</v>
      </c>
      <c r="AD71" s="233"/>
      <c r="AE71" s="235"/>
      <c r="AF71" s="233"/>
    </row>
    <row r="72" spans="8:32" ht="12.75">
      <c r="H72" s="233"/>
      <c r="I72" s="234"/>
      <c r="J72" s="234"/>
      <c r="K72" s="234"/>
      <c r="M72" s="233"/>
      <c r="N72" s="235"/>
      <c r="O72" s="235"/>
      <c r="P72" s="234"/>
      <c r="R72" s="238"/>
      <c r="S72" s="237"/>
      <c r="T72" s="238"/>
      <c r="U72" s="238"/>
      <c r="V72" s="238"/>
      <c r="X72" s="233" t="s">
        <v>553</v>
      </c>
      <c r="Y72" s="235">
        <v>84</v>
      </c>
      <c r="Z72" s="235">
        <v>107.5</v>
      </c>
      <c r="AA72" s="235" t="s">
        <v>554</v>
      </c>
      <c r="AB72" s="233" t="s">
        <v>555</v>
      </c>
      <c r="AD72" s="233"/>
      <c r="AE72" s="235"/>
      <c r="AF72" s="233"/>
    </row>
    <row r="73" spans="8:32" ht="12.75">
      <c r="H73" s="233"/>
      <c r="I73" s="234"/>
      <c r="J73" s="234"/>
      <c r="K73" s="234"/>
      <c r="M73" s="233"/>
      <c r="N73" s="235"/>
      <c r="O73" s="235"/>
      <c r="P73" s="234"/>
      <c r="R73" s="238"/>
      <c r="S73" s="237"/>
      <c r="T73" s="238"/>
      <c r="U73" s="238"/>
      <c r="V73" s="238"/>
      <c r="X73" s="233" t="s">
        <v>556</v>
      </c>
      <c r="Y73" s="235">
        <v>78</v>
      </c>
      <c r="Z73" s="235">
        <v>106</v>
      </c>
      <c r="AA73" s="235" t="s">
        <v>363</v>
      </c>
      <c r="AB73" s="233" t="s">
        <v>557</v>
      </c>
      <c r="AD73" s="233"/>
      <c r="AE73" s="235"/>
      <c r="AF73" s="233"/>
    </row>
    <row r="74" spans="8:32" ht="12.75">
      <c r="H74" s="233"/>
      <c r="I74" s="234"/>
      <c r="J74" s="234"/>
      <c r="K74" s="234"/>
      <c r="M74" s="233"/>
      <c r="N74" s="235"/>
      <c r="O74" s="235"/>
      <c r="P74" s="234"/>
      <c r="R74" s="238"/>
      <c r="S74" s="237"/>
      <c r="T74" s="238"/>
      <c r="U74" s="238"/>
      <c r="V74" s="238"/>
      <c r="X74" s="233" t="s">
        <v>558</v>
      </c>
      <c r="Y74" s="235">
        <v>78</v>
      </c>
      <c r="Z74" s="235">
        <v>107.5</v>
      </c>
      <c r="AA74" s="235" t="s">
        <v>551</v>
      </c>
      <c r="AB74" s="233" t="s">
        <v>559</v>
      </c>
      <c r="AD74" s="233"/>
      <c r="AE74" s="235"/>
      <c r="AF74" s="233"/>
    </row>
    <row r="75" spans="8:32" ht="12.75">
      <c r="H75" s="233"/>
      <c r="I75" s="234"/>
      <c r="J75" s="234"/>
      <c r="K75" s="234"/>
      <c r="M75" s="233"/>
      <c r="N75" s="235"/>
      <c r="O75" s="235"/>
      <c r="P75" s="234"/>
      <c r="R75" s="238"/>
      <c r="S75" s="237"/>
      <c r="T75" s="238"/>
      <c r="U75" s="238"/>
      <c r="V75" s="238"/>
      <c r="X75" s="233" t="s">
        <v>560</v>
      </c>
      <c r="Y75" s="235">
        <v>79</v>
      </c>
      <c r="Z75" s="235">
        <v>107.5</v>
      </c>
      <c r="AA75" s="235">
        <v>21</v>
      </c>
      <c r="AB75" s="261" t="s">
        <v>594</v>
      </c>
      <c r="AD75" s="233"/>
      <c r="AE75" s="235"/>
      <c r="AF75" s="233"/>
    </row>
    <row r="76" spans="8:32" ht="12.75">
      <c r="H76" s="233"/>
      <c r="I76" s="234"/>
      <c r="J76" s="234"/>
      <c r="K76" s="234"/>
      <c r="M76" s="233"/>
      <c r="N76" s="235"/>
      <c r="O76" s="235"/>
      <c r="P76" s="234"/>
      <c r="R76" s="238"/>
      <c r="S76" s="237"/>
      <c r="T76" s="238"/>
      <c r="U76" s="238"/>
      <c r="V76" s="238"/>
      <c r="X76" s="233" t="s">
        <v>561</v>
      </c>
      <c r="Y76" s="235">
        <v>74</v>
      </c>
      <c r="Z76" s="235">
        <v>107.5</v>
      </c>
      <c r="AA76" s="235">
        <v>20</v>
      </c>
      <c r="AB76" s="233" t="s">
        <v>562</v>
      </c>
      <c r="AD76" s="233"/>
      <c r="AE76" s="235"/>
      <c r="AF76" s="233"/>
    </row>
    <row r="77" spans="8:32" ht="12.75">
      <c r="H77" s="233"/>
      <c r="I77" s="234"/>
      <c r="J77" s="234"/>
      <c r="K77" s="234"/>
      <c r="M77" s="233"/>
      <c r="N77" s="235"/>
      <c r="O77" s="235"/>
      <c r="P77" s="234"/>
      <c r="R77" s="238"/>
      <c r="S77" s="237"/>
      <c r="T77" s="238"/>
      <c r="U77" s="238"/>
      <c r="V77" s="238"/>
      <c r="X77" s="233" t="s">
        <v>563</v>
      </c>
      <c r="Y77" s="235">
        <v>74</v>
      </c>
      <c r="Z77" s="235">
        <v>107.5</v>
      </c>
      <c r="AA77" s="235">
        <v>21</v>
      </c>
      <c r="AB77" s="233" t="s">
        <v>564</v>
      </c>
      <c r="AD77" s="233"/>
      <c r="AE77" s="235"/>
      <c r="AF77" s="233"/>
    </row>
    <row r="78" spans="8:32" ht="12.75">
      <c r="H78" s="233"/>
      <c r="I78" s="234"/>
      <c r="J78" s="234"/>
      <c r="K78" s="234"/>
      <c r="M78" s="233"/>
      <c r="N78" s="235"/>
      <c r="O78" s="235"/>
      <c r="P78" s="234"/>
      <c r="R78" s="238"/>
      <c r="S78" s="237"/>
      <c r="T78" s="238"/>
      <c r="U78" s="238"/>
      <c r="V78" s="238"/>
      <c r="X78" s="233" t="s">
        <v>565</v>
      </c>
      <c r="Y78" s="235">
        <v>85</v>
      </c>
      <c r="Z78" s="235">
        <v>107.5</v>
      </c>
      <c r="AA78" s="235">
        <v>22</v>
      </c>
      <c r="AB78" s="233" t="s">
        <v>566</v>
      </c>
      <c r="AD78" s="233"/>
      <c r="AE78" s="235"/>
      <c r="AF78" s="233"/>
    </row>
    <row r="79" spans="8:32" ht="12.75">
      <c r="H79" s="233"/>
      <c r="I79" s="234"/>
      <c r="J79" s="234"/>
      <c r="K79" s="234"/>
      <c r="M79" s="233"/>
      <c r="N79" s="235"/>
      <c r="O79" s="235"/>
      <c r="P79" s="234"/>
      <c r="R79" s="238"/>
      <c r="S79" s="237"/>
      <c r="T79" s="238"/>
      <c r="U79" s="238"/>
      <c r="V79" s="238"/>
      <c r="X79" s="233" t="s">
        <v>567</v>
      </c>
      <c r="Y79" s="235">
        <v>45</v>
      </c>
      <c r="Z79" s="235">
        <v>107.5</v>
      </c>
      <c r="AA79" s="235">
        <v>18</v>
      </c>
      <c r="AB79" s="233" t="s">
        <v>568</v>
      </c>
      <c r="AD79" s="233"/>
      <c r="AE79" s="235"/>
      <c r="AF79" s="233"/>
    </row>
    <row r="80" spans="8:32" ht="12.75">
      <c r="H80" s="233"/>
      <c r="I80" s="234"/>
      <c r="J80" s="234"/>
      <c r="K80" s="234"/>
      <c r="M80" s="233"/>
      <c r="N80" s="235"/>
      <c r="O80" s="235"/>
      <c r="P80" s="234"/>
      <c r="R80" s="238"/>
      <c r="S80" s="237"/>
      <c r="T80" s="238"/>
      <c r="U80" s="238"/>
      <c r="V80" s="238"/>
      <c r="X80" s="233"/>
      <c r="Y80" s="235"/>
      <c r="Z80" s="235"/>
      <c r="AA80" s="235"/>
      <c r="AB80" s="233"/>
      <c r="AD80" s="233"/>
      <c r="AE80" s="235"/>
      <c r="AF80" s="233"/>
    </row>
    <row r="81" spans="8:32" ht="12.75">
      <c r="H81" s="233"/>
      <c r="I81" s="234"/>
      <c r="J81" s="234"/>
      <c r="K81" s="234"/>
      <c r="M81" s="233"/>
      <c r="N81" s="235"/>
      <c r="O81" s="235"/>
      <c r="P81" s="234"/>
      <c r="R81" s="238"/>
      <c r="S81" s="237"/>
      <c r="T81" s="238"/>
      <c r="U81" s="238"/>
      <c r="V81" s="238"/>
      <c r="X81" s="233"/>
      <c r="Y81" s="235"/>
      <c r="Z81" s="235"/>
      <c r="AA81" s="235"/>
      <c r="AB81" s="233"/>
      <c r="AD81" s="233"/>
      <c r="AE81" s="235"/>
      <c r="AF81" s="233"/>
    </row>
    <row r="82" spans="8:32" ht="12.75">
      <c r="H82" s="233"/>
      <c r="I82" s="234"/>
      <c r="J82" s="234"/>
      <c r="K82" s="234"/>
      <c r="M82" s="233"/>
      <c r="N82" s="235"/>
      <c r="O82" s="235"/>
      <c r="P82" s="234"/>
      <c r="R82" s="238"/>
      <c r="S82" s="237"/>
      <c r="T82" s="238"/>
      <c r="U82" s="238"/>
      <c r="V82" s="238"/>
      <c r="X82" s="233"/>
      <c r="Y82" s="235"/>
      <c r="Z82" s="235"/>
      <c r="AA82" s="235"/>
      <c r="AB82" s="233"/>
      <c r="AD82" s="233"/>
      <c r="AE82" s="235"/>
      <c r="AF82" s="233"/>
    </row>
    <row r="83" spans="8:32" ht="12.75">
      <c r="H83" s="233"/>
      <c r="I83" s="234"/>
      <c r="J83" s="234"/>
      <c r="K83" s="234"/>
      <c r="M83" s="233"/>
      <c r="N83" s="235"/>
      <c r="O83" s="235"/>
      <c r="P83" s="234"/>
      <c r="R83" s="238"/>
      <c r="S83" s="237"/>
      <c r="T83" s="238"/>
      <c r="U83" s="238"/>
      <c r="V83" s="238"/>
      <c r="X83" s="233"/>
      <c r="Y83" s="235"/>
      <c r="Z83" s="235"/>
      <c r="AA83" s="235"/>
      <c r="AB83" s="233"/>
      <c r="AD83" s="233"/>
      <c r="AE83" s="235"/>
      <c r="AF83" s="233"/>
    </row>
    <row r="84" spans="8:32" ht="12.75">
      <c r="H84" s="233"/>
      <c r="I84" s="234"/>
      <c r="J84" s="234"/>
      <c r="K84" s="234"/>
      <c r="M84" s="233"/>
      <c r="N84" s="235"/>
      <c r="O84" s="235"/>
      <c r="P84" s="234"/>
      <c r="R84" s="238"/>
      <c r="S84" s="237"/>
      <c r="T84" s="238"/>
      <c r="U84" s="238"/>
      <c r="V84" s="238"/>
      <c r="X84" s="233"/>
      <c r="Y84" s="235"/>
      <c r="Z84" s="235"/>
      <c r="AA84" s="235"/>
      <c r="AB84" s="233"/>
      <c r="AD84" s="233"/>
      <c r="AE84" s="235"/>
      <c r="AF84" s="233"/>
    </row>
    <row r="85" spans="8:32" ht="12.75">
      <c r="H85" s="233"/>
      <c r="I85" s="234"/>
      <c r="J85" s="234"/>
      <c r="K85" s="234"/>
      <c r="M85" s="233"/>
      <c r="N85" s="235"/>
      <c r="O85" s="235"/>
      <c r="P85" s="234"/>
      <c r="R85" s="238"/>
      <c r="S85" s="237"/>
      <c r="T85" s="238"/>
      <c r="U85" s="238"/>
      <c r="V85" s="238"/>
      <c r="X85" s="233"/>
      <c r="Y85" s="235"/>
      <c r="Z85" s="235"/>
      <c r="AA85" s="235"/>
      <c r="AB85" s="233"/>
      <c r="AD85" s="233"/>
      <c r="AE85" s="235"/>
      <c r="AF85" s="233"/>
    </row>
    <row r="86" spans="8:32" ht="12.75">
      <c r="H86" s="233"/>
      <c r="I86" s="234"/>
      <c r="J86" s="234"/>
      <c r="K86" s="234"/>
      <c r="M86" s="233"/>
      <c r="N86" s="235"/>
      <c r="O86" s="235"/>
      <c r="P86" s="234"/>
      <c r="R86" s="238"/>
      <c r="S86" s="237"/>
      <c r="T86" s="238"/>
      <c r="U86" s="238"/>
      <c r="V86" s="238"/>
      <c r="X86" s="233"/>
      <c r="Y86" s="235"/>
      <c r="Z86" s="235"/>
      <c r="AA86" s="235"/>
      <c r="AB86" s="233"/>
      <c r="AD86" s="233"/>
      <c r="AE86" s="235"/>
      <c r="AF86" s="233"/>
    </row>
    <row r="87" spans="8:32" ht="12.75">
      <c r="H87" s="233"/>
      <c r="I87" s="234"/>
      <c r="J87" s="234"/>
      <c r="K87" s="234"/>
      <c r="M87" s="233"/>
      <c r="N87" s="235"/>
      <c r="O87" s="235"/>
      <c r="P87" s="234"/>
      <c r="R87" s="238"/>
      <c r="S87" s="237"/>
      <c r="T87" s="238"/>
      <c r="U87" s="238"/>
      <c r="V87" s="238"/>
      <c r="X87" s="233"/>
      <c r="Y87" s="235"/>
      <c r="Z87" s="235"/>
      <c r="AA87" s="235"/>
      <c r="AB87" s="233"/>
      <c r="AD87" s="233"/>
      <c r="AE87" s="235"/>
      <c r="AF87" s="233"/>
    </row>
    <row r="88" spans="8:32" ht="12.75">
      <c r="H88" s="233"/>
      <c r="I88" s="234"/>
      <c r="J88" s="234"/>
      <c r="K88" s="234"/>
      <c r="M88" s="233"/>
      <c r="N88" s="235"/>
      <c r="O88" s="235"/>
      <c r="P88" s="234"/>
      <c r="R88" s="238"/>
      <c r="S88" s="237"/>
      <c r="T88" s="238"/>
      <c r="U88" s="238"/>
      <c r="V88" s="238"/>
      <c r="X88" s="233"/>
      <c r="Y88" s="235"/>
      <c r="Z88" s="235"/>
      <c r="AA88" s="235"/>
      <c r="AB88" s="233"/>
      <c r="AD88" s="233"/>
      <c r="AE88" s="235"/>
      <c r="AF88" s="233"/>
    </row>
    <row r="89" spans="8:32" ht="12.75">
      <c r="H89" s="233"/>
      <c r="I89" s="234"/>
      <c r="J89" s="234"/>
      <c r="K89" s="234"/>
      <c r="M89" s="233"/>
      <c r="N89" s="235"/>
      <c r="O89" s="235"/>
      <c r="P89" s="234"/>
      <c r="R89" s="238"/>
      <c r="S89" s="237"/>
      <c r="T89" s="238"/>
      <c r="U89" s="238"/>
      <c r="V89" s="238"/>
      <c r="X89" s="233"/>
      <c r="Y89" s="235"/>
      <c r="Z89" s="235"/>
      <c r="AA89" s="235"/>
      <c r="AB89" s="233"/>
      <c r="AD89" s="233"/>
      <c r="AE89" s="235"/>
      <c r="AF89" s="233"/>
    </row>
    <row r="90" spans="8:32" ht="12.75">
      <c r="H90" s="233"/>
      <c r="I90" s="234"/>
      <c r="J90" s="234"/>
      <c r="K90" s="234"/>
      <c r="M90" s="233"/>
      <c r="N90" s="235"/>
      <c r="O90" s="235"/>
      <c r="P90" s="234"/>
      <c r="R90" s="238"/>
      <c r="S90" s="237"/>
      <c r="T90" s="238"/>
      <c r="U90" s="238"/>
      <c r="V90" s="238"/>
      <c r="X90" s="233"/>
      <c r="Y90" s="235"/>
      <c r="Z90" s="235"/>
      <c r="AA90" s="235"/>
      <c r="AB90" s="233"/>
      <c r="AD90" s="233"/>
      <c r="AE90" s="235"/>
      <c r="AF90" s="233"/>
    </row>
    <row r="91" spans="8:32" ht="12.75">
      <c r="H91" s="233"/>
      <c r="I91" s="234"/>
      <c r="J91" s="234"/>
      <c r="K91" s="234"/>
      <c r="M91" s="233"/>
      <c r="N91" s="235"/>
      <c r="O91" s="235"/>
      <c r="P91" s="234"/>
      <c r="R91" s="238"/>
      <c r="S91" s="237"/>
      <c r="T91" s="238"/>
      <c r="U91" s="238"/>
      <c r="V91" s="238"/>
      <c r="X91" s="233"/>
      <c r="Y91" s="235"/>
      <c r="Z91" s="235"/>
      <c r="AA91" s="235"/>
      <c r="AB91" s="233"/>
      <c r="AD91" s="233"/>
      <c r="AE91" s="235"/>
      <c r="AF91" s="233"/>
    </row>
    <row r="92" spans="8:32" ht="12.75">
      <c r="H92" s="233"/>
      <c r="I92" s="234"/>
      <c r="J92" s="234"/>
      <c r="K92" s="234"/>
      <c r="M92" s="233"/>
      <c r="N92" s="235"/>
      <c r="O92" s="235"/>
      <c r="P92" s="234"/>
      <c r="R92" s="238"/>
      <c r="S92" s="237"/>
      <c r="T92" s="238"/>
      <c r="U92" s="238"/>
      <c r="V92" s="238"/>
      <c r="X92" s="233"/>
      <c r="Y92" s="235"/>
      <c r="Z92" s="235"/>
      <c r="AA92" s="235"/>
      <c r="AB92" s="233"/>
      <c r="AD92" s="233"/>
      <c r="AE92" s="235"/>
      <c r="AF92" s="233"/>
    </row>
    <row r="93" spans="8:32" ht="12.75">
      <c r="H93" s="233"/>
      <c r="I93" s="234"/>
      <c r="J93" s="234"/>
      <c r="K93" s="234"/>
      <c r="M93" s="233"/>
      <c r="N93" s="235"/>
      <c r="O93" s="235"/>
      <c r="P93" s="234"/>
      <c r="R93" s="238"/>
      <c r="S93" s="237"/>
      <c r="T93" s="238"/>
      <c r="U93" s="238"/>
      <c r="V93" s="238"/>
      <c r="X93" s="233"/>
      <c r="Y93" s="235"/>
      <c r="Z93" s="235"/>
      <c r="AA93" s="235"/>
      <c r="AB93" s="233"/>
      <c r="AD93" s="233"/>
      <c r="AE93" s="235"/>
      <c r="AF93" s="233"/>
    </row>
    <row r="94" spans="8:32" ht="12.75">
      <c r="H94" s="233"/>
      <c r="I94" s="234"/>
      <c r="J94" s="234"/>
      <c r="K94" s="234"/>
      <c r="M94" s="233"/>
      <c r="N94" s="235"/>
      <c r="O94" s="235"/>
      <c r="P94" s="234"/>
      <c r="R94" s="238"/>
      <c r="S94" s="237"/>
      <c r="T94" s="238"/>
      <c r="U94" s="238"/>
      <c r="V94" s="238"/>
      <c r="X94" s="233"/>
      <c r="Y94" s="235"/>
      <c r="Z94" s="235"/>
      <c r="AA94" s="235"/>
      <c r="AB94" s="233"/>
      <c r="AD94" s="233"/>
      <c r="AE94" s="235"/>
      <c r="AF94" s="233"/>
    </row>
    <row r="95" spans="8:32" ht="12.75">
      <c r="H95" s="233"/>
      <c r="I95" s="234"/>
      <c r="J95" s="234"/>
      <c r="K95" s="234"/>
      <c r="M95" s="233"/>
      <c r="N95" s="235"/>
      <c r="O95" s="235"/>
      <c r="P95" s="234"/>
      <c r="R95" s="238"/>
      <c r="S95" s="237"/>
      <c r="T95" s="238"/>
      <c r="U95" s="238"/>
      <c r="V95" s="238"/>
      <c r="X95" s="233"/>
      <c r="Y95" s="235"/>
      <c r="Z95" s="235"/>
      <c r="AA95" s="235"/>
      <c r="AB95" s="233"/>
      <c r="AD95" s="233"/>
      <c r="AE95" s="235"/>
      <c r="AF95" s="233"/>
    </row>
    <row r="96" spans="8:32" ht="12.75">
      <c r="H96" s="233"/>
      <c r="I96" s="234"/>
      <c r="J96" s="234"/>
      <c r="K96" s="234"/>
      <c r="M96" s="233"/>
      <c r="N96" s="235"/>
      <c r="O96" s="235"/>
      <c r="P96" s="234"/>
      <c r="R96" s="238"/>
      <c r="S96" s="237"/>
      <c r="T96" s="238"/>
      <c r="U96" s="238"/>
      <c r="V96" s="238"/>
      <c r="X96" s="233"/>
      <c r="Y96" s="235"/>
      <c r="Z96" s="235"/>
      <c r="AA96" s="235"/>
      <c r="AB96" s="233"/>
      <c r="AD96" s="233"/>
      <c r="AE96" s="235"/>
      <c r="AF96" s="233"/>
    </row>
    <row r="97" spans="8:32" ht="12.75">
      <c r="H97" s="233"/>
      <c r="I97" s="234"/>
      <c r="J97" s="234"/>
      <c r="K97" s="234"/>
      <c r="M97" s="233"/>
      <c r="N97" s="235"/>
      <c r="O97" s="235"/>
      <c r="P97" s="234"/>
      <c r="R97" s="238"/>
      <c r="S97" s="237"/>
      <c r="T97" s="238"/>
      <c r="U97" s="238"/>
      <c r="V97" s="238"/>
      <c r="X97" s="233"/>
      <c r="Y97" s="235"/>
      <c r="Z97" s="235"/>
      <c r="AA97" s="235"/>
      <c r="AB97" s="233"/>
      <c r="AD97" s="233"/>
      <c r="AE97" s="235"/>
      <c r="AF97" s="233"/>
    </row>
    <row r="98" spans="8:32" ht="12.75">
      <c r="H98" s="233"/>
      <c r="I98" s="234"/>
      <c r="J98" s="234"/>
      <c r="K98" s="234"/>
      <c r="M98" s="233"/>
      <c r="N98" s="235"/>
      <c r="O98" s="235"/>
      <c r="P98" s="234"/>
      <c r="R98" s="238"/>
      <c r="S98" s="237"/>
      <c r="T98" s="238"/>
      <c r="U98" s="238"/>
      <c r="V98" s="238"/>
      <c r="X98" s="233"/>
      <c r="Y98" s="235"/>
      <c r="Z98" s="235"/>
      <c r="AA98" s="235"/>
      <c r="AB98" s="233"/>
      <c r="AD98" s="233"/>
      <c r="AE98" s="235"/>
      <c r="AF98" s="233"/>
    </row>
    <row r="99" spans="8:32" ht="12.75">
      <c r="H99" s="233"/>
      <c r="I99" s="234"/>
      <c r="J99" s="234"/>
      <c r="K99" s="234"/>
      <c r="M99" s="233"/>
      <c r="N99" s="235"/>
      <c r="O99" s="235"/>
      <c r="P99" s="234"/>
      <c r="R99" s="238"/>
      <c r="S99" s="237"/>
      <c r="T99" s="238"/>
      <c r="U99" s="238"/>
      <c r="V99" s="238"/>
      <c r="X99" s="233"/>
      <c r="Y99" s="235"/>
      <c r="Z99" s="235"/>
      <c r="AA99" s="235"/>
      <c r="AB99" s="233"/>
      <c r="AD99" s="233"/>
      <c r="AE99" s="235"/>
      <c r="AF99" s="233"/>
    </row>
    <row r="100" spans="8:32" ht="12.75">
      <c r="H100" s="233"/>
      <c r="I100" s="234"/>
      <c r="J100" s="234"/>
      <c r="K100" s="234"/>
      <c r="M100" s="233"/>
      <c r="N100" s="235"/>
      <c r="O100" s="235"/>
      <c r="P100" s="234"/>
      <c r="R100" s="238"/>
      <c r="S100" s="237"/>
      <c r="T100" s="238"/>
      <c r="U100" s="238"/>
      <c r="V100" s="238"/>
      <c r="X100" s="233"/>
      <c r="Y100" s="235"/>
      <c r="Z100" s="235"/>
      <c r="AA100" s="235"/>
      <c r="AB100" s="233"/>
      <c r="AD100" s="233"/>
      <c r="AE100" s="235"/>
      <c r="AF100" s="233"/>
    </row>
    <row r="101" spans="8:32" ht="12.75">
      <c r="H101" s="233"/>
      <c r="I101" s="234"/>
      <c r="J101" s="234"/>
      <c r="K101" s="234"/>
      <c r="R101" s="238"/>
      <c r="S101" s="237"/>
      <c r="T101" s="238"/>
      <c r="U101" s="238"/>
      <c r="V101" s="238"/>
      <c r="X101" s="233"/>
      <c r="Y101" s="235"/>
      <c r="Z101" s="235"/>
      <c r="AA101" s="235"/>
      <c r="AB101" s="233"/>
      <c r="AD101" s="233"/>
      <c r="AE101" s="235"/>
      <c r="AF101" s="233"/>
    </row>
    <row r="102" spans="8:32" ht="12.75">
      <c r="H102" s="233"/>
      <c r="I102" s="234"/>
      <c r="J102" s="234"/>
      <c r="K102" s="234"/>
      <c r="R102" s="238"/>
      <c r="S102" s="237"/>
      <c r="T102" s="238"/>
      <c r="U102" s="238"/>
      <c r="V102" s="238"/>
      <c r="X102" s="233"/>
      <c r="Y102" s="235"/>
      <c r="Z102" s="235"/>
      <c r="AA102" s="235"/>
      <c r="AB102" s="233"/>
      <c r="AD102" s="233"/>
      <c r="AE102" s="235"/>
      <c r="AF102" s="233"/>
    </row>
    <row r="103" spans="8:32" ht="12.75">
      <c r="H103" s="233"/>
      <c r="I103" s="234"/>
      <c r="J103" s="234"/>
      <c r="K103" s="234"/>
      <c r="R103" s="238"/>
      <c r="S103" s="237"/>
      <c r="T103" s="238"/>
      <c r="U103" s="238"/>
      <c r="V103" s="238"/>
      <c r="X103" s="233"/>
      <c r="Y103" s="235"/>
      <c r="Z103" s="235"/>
      <c r="AA103" s="235"/>
      <c r="AB103" s="233"/>
      <c r="AD103" s="233"/>
      <c r="AE103" s="235"/>
      <c r="AF103" s="233"/>
    </row>
    <row r="104" spans="8:32" ht="12.75">
      <c r="H104" s="233"/>
      <c r="I104" s="234"/>
      <c r="J104" s="234"/>
      <c r="K104" s="234"/>
      <c r="R104" s="238"/>
      <c r="S104" s="237"/>
      <c r="T104" s="238"/>
      <c r="U104" s="238"/>
      <c r="V104" s="238"/>
      <c r="X104" s="233"/>
      <c r="Y104" s="235"/>
      <c r="Z104" s="235"/>
      <c r="AA104" s="235"/>
      <c r="AB104" s="233"/>
      <c r="AD104" s="233"/>
      <c r="AE104" s="235"/>
      <c r="AF104" s="233"/>
    </row>
    <row r="105" spans="8:32" ht="12.75">
      <c r="H105" s="233"/>
      <c r="I105" s="234"/>
      <c r="J105" s="234"/>
      <c r="K105" s="234"/>
      <c r="R105" s="238"/>
      <c r="S105" s="237"/>
      <c r="T105" s="238"/>
      <c r="U105" s="238"/>
      <c r="V105" s="238"/>
      <c r="X105" s="233"/>
      <c r="Y105" s="235"/>
      <c r="Z105" s="235"/>
      <c r="AA105" s="235"/>
      <c r="AB105" s="233"/>
      <c r="AD105" s="233"/>
      <c r="AE105" s="235"/>
      <c r="AF105" s="233"/>
    </row>
    <row r="106" spans="8:32" ht="12.75">
      <c r="H106" s="233"/>
      <c r="I106" s="234"/>
      <c r="J106" s="234"/>
      <c r="K106" s="234"/>
      <c r="R106" s="238"/>
      <c r="S106" s="237"/>
      <c r="T106" s="238"/>
      <c r="U106" s="238"/>
      <c r="V106" s="238"/>
      <c r="X106" s="233"/>
      <c r="Y106" s="235"/>
      <c r="Z106" s="235"/>
      <c r="AA106" s="235"/>
      <c r="AB106" s="233"/>
      <c r="AD106" s="233"/>
      <c r="AE106" s="235"/>
      <c r="AF106" s="233"/>
    </row>
    <row r="107" spans="8:32" ht="12.75">
      <c r="H107" s="233"/>
      <c r="I107" s="234"/>
      <c r="J107" s="234"/>
      <c r="K107" s="234"/>
      <c r="R107" s="238"/>
      <c r="S107" s="237"/>
      <c r="T107" s="238"/>
      <c r="U107" s="238"/>
      <c r="V107" s="238"/>
      <c r="X107" s="233"/>
      <c r="Y107" s="235"/>
      <c r="Z107" s="235"/>
      <c r="AA107" s="235"/>
      <c r="AB107" s="233"/>
      <c r="AD107" s="233"/>
      <c r="AE107" s="235"/>
      <c r="AF107" s="233"/>
    </row>
    <row r="108" spans="8:32" ht="12.75">
      <c r="H108" s="233"/>
      <c r="I108" s="234"/>
      <c r="J108" s="234"/>
      <c r="K108" s="234"/>
      <c r="R108" s="238"/>
      <c r="S108" s="237"/>
      <c r="T108" s="238"/>
      <c r="U108" s="238"/>
      <c r="V108" s="238"/>
      <c r="X108" s="233"/>
      <c r="Y108" s="235"/>
      <c r="Z108" s="235"/>
      <c r="AA108" s="235"/>
      <c r="AB108" s="233"/>
      <c r="AD108" s="233"/>
      <c r="AE108" s="235"/>
      <c r="AF108" s="233"/>
    </row>
    <row r="109" spans="8:32" ht="12.75">
      <c r="H109" s="233"/>
      <c r="I109" s="234"/>
      <c r="J109" s="234"/>
      <c r="K109" s="234"/>
      <c r="R109" s="238"/>
      <c r="S109" s="237"/>
      <c r="T109" s="238"/>
      <c r="U109" s="238"/>
      <c r="V109" s="238"/>
      <c r="X109" s="233"/>
      <c r="Y109" s="235"/>
      <c r="Z109" s="235"/>
      <c r="AA109" s="235"/>
      <c r="AB109" s="233"/>
      <c r="AD109" s="233"/>
      <c r="AE109" s="235"/>
      <c r="AF109" s="233"/>
    </row>
    <row r="110" spans="8:32" ht="12.75">
      <c r="H110" s="233"/>
      <c r="I110" s="234"/>
      <c r="J110" s="234"/>
      <c r="K110" s="234"/>
      <c r="R110" s="238"/>
      <c r="S110" s="237"/>
      <c r="T110" s="238"/>
      <c r="U110" s="238"/>
      <c r="V110" s="238"/>
      <c r="X110" s="233"/>
      <c r="Y110" s="235"/>
      <c r="Z110" s="235"/>
      <c r="AA110" s="235"/>
      <c r="AB110" s="233"/>
      <c r="AD110" s="233"/>
      <c r="AE110" s="235"/>
      <c r="AF110" s="233"/>
    </row>
    <row r="111" spans="8:32" ht="12.75">
      <c r="H111" s="233"/>
      <c r="I111" s="234"/>
      <c r="J111" s="234"/>
      <c r="K111" s="234"/>
      <c r="R111" s="238"/>
      <c r="S111" s="237"/>
      <c r="T111" s="238"/>
      <c r="U111" s="238"/>
      <c r="V111" s="238"/>
      <c r="X111" s="233"/>
      <c r="Y111" s="235"/>
      <c r="Z111" s="235"/>
      <c r="AA111" s="235"/>
      <c r="AB111" s="233"/>
      <c r="AD111" s="233"/>
      <c r="AE111" s="235"/>
      <c r="AF111" s="233"/>
    </row>
    <row r="112" spans="8:32" ht="12.75">
      <c r="H112" s="233"/>
      <c r="I112" s="234"/>
      <c r="J112" s="234"/>
      <c r="K112" s="234"/>
      <c r="R112" s="238"/>
      <c r="S112" s="237"/>
      <c r="T112" s="238"/>
      <c r="U112" s="238"/>
      <c r="V112" s="238"/>
      <c r="X112" s="233"/>
      <c r="Y112" s="235"/>
      <c r="Z112" s="235"/>
      <c r="AA112" s="235"/>
      <c r="AB112" s="233"/>
      <c r="AD112" s="233"/>
      <c r="AE112" s="235"/>
      <c r="AF112" s="233"/>
    </row>
    <row r="113" spans="8:32" ht="12.75">
      <c r="H113" s="233"/>
      <c r="I113" s="234"/>
      <c r="J113" s="234"/>
      <c r="K113" s="234"/>
      <c r="R113" s="238"/>
      <c r="S113" s="237"/>
      <c r="T113" s="238"/>
      <c r="U113" s="238"/>
      <c r="V113" s="238"/>
      <c r="X113" s="233"/>
      <c r="Y113" s="235"/>
      <c r="Z113" s="235"/>
      <c r="AA113" s="235"/>
      <c r="AB113" s="233"/>
      <c r="AD113" s="233"/>
      <c r="AE113" s="235"/>
      <c r="AF113" s="233"/>
    </row>
    <row r="114" spans="8:32" ht="12.75">
      <c r="H114" s="233"/>
      <c r="I114" s="234"/>
      <c r="J114" s="234"/>
      <c r="K114" s="234"/>
      <c r="R114" s="238"/>
      <c r="S114" s="237"/>
      <c r="T114" s="238"/>
      <c r="U114" s="238"/>
      <c r="V114" s="238"/>
      <c r="X114" s="233"/>
      <c r="Y114" s="235"/>
      <c r="Z114" s="235"/>
      <c r="AA114" s="235"/>
      <c r="AB114" s="233"/>
      <c r="AD114" s="233"/>
      <c r="AE114" s="235"/>
      <c r="AF114" s="233"/>
    </row>
    <row r="115" spans="8:32" ht="12.75">
      <c r="H115" s="233"/>
      <c r="I115" s="234"/>
      <c r="J115" s="234"/>
      <c r="K115" s="234"/>
      <c r="R115" s="238"/>
      <c r="S115" s="237"/>
      <c r="T115" s="238"/>
      <c r="U115" s="238"/>
      <c r="V115" s="238"/>
      <c r="X115" s="233"/>
      <c r="Y115" s="235"/>
      <c r="Z115" s="235"/>
      <c r="AA115" s="235"/>
      <c r="AB115" s="233"/>
      <c r="AD115" s="233"/>
      <c r="AE115" s="235"/>
      <c r="AF115" s="233"/>
    </row>
    <row r="116" spans="8:32" ht="12.75">
      <c r="H116" s="233"/>
      <c r="I116" s="234"/>
      <c r="J116" s="234"/>
      <c r="K116" s="234"/>
      <c r="R116" s="238"/>
      <c r="S116" s="237"/>
      <c r="T116" s="238"/>
      <c r="U116" s="238"/>
      <c r="V116" s="238"/>
      <c r="X116" s="233"/>
      <c r="Y116" s="235"/>
      <c r="Z116" s="235"/>
      <c r="AA116" s="235"/>
      <c r="AB116" s="233"/>
      <c r="AD116" s="233"/>
      <c r="AE116" s="235"/>
      <c r="AF116" s="233"/>
    </row>
    <row r="117" spans="8:32" ht="12.75">
      <c r="H117" s="233"/>
      <c r="I117" s="234"/>
      <c r="J117" s="234"/>
      <c r="K117" s="234"/>
      <c r="R117" s="238"/>
      <c r="S117" s="237"/>
      <c r="T117" s="238"/>
      <c r="U117" s="238"/>
      <c r="V117" s="238"/>
      <c r="X117" s="233"/>
      <c r="Y117" s="235"/>
      <c r="Z117" s="235"/>
      <c r="AA117" s="235"/>
      <c r="AB117" s="233"/>
      <c r="AD117" s="233"/>
      <c r="AE117" s="235"/>
      <c r="AF117" s="233"/>
    </row>
    <row r="118" spans="8:32" ht="12.75">
      <c r="H118" s="233"/>
      <c r="I118" s="234"/>
      <c r="J118" s="234"/>
      <c r="K118" s="234"/>
      <c r="R118" s="238"/>
      <c r="S118" s="237"/>
      <c r="T118" s="238"/>
      <c r="U118" s="238"/>
      <c r="V118" s="238"/>
      <c r="X118" s="233"/>
      <c r="Y118" s="235"/>
      <c r="Z118" s="235"/>
      <c r="AA118" s="235"/>
      <c r="AB118" s="233"/>
      <c r="AD118" s="233"/>
      <c r="AE118" s="235"/>
      <c r="AF118" s="233"/>
    </row>
    <row r="119" spans="8:32" ht="12.75">
      <c r="H119" s="233"/>
      <c r="I119" s="234"/>
      <c r="J119" s="234"/>
      <c r="K119" s="234"/>
      <c r="R119" s="238"/>
      <c r="S119" s="237"/>
      <c r="T119" s="238"/>
      <c r="U119" s="238"/>
      <c r="V119" s="238"/>
      <c r="X119" s="233"/>
      <c r="Y119" s="235"/>
      <c r="Z119" s="235"/>
      <c r="AA119" s="235"/>
      <c r="AB119" s="233"/>
      <c r="AD119" s="233"/>
      <c r="AE119" s="235"/>
      <c r="AF119" s="233"/>
    </row>
    <row r="120" spans="8:32" ht="12.75">
      <c r="H120" s="233"/>
      <c r="I120" s="234"/>
      <c r="J120" s="234"/>
      <c r="K120" s="234"/>
      <c r="R120" s="238"/>
      <c r="S120" s="237"/>
      <c r="T120" s="238"/>
      <c r="U120" s="238"/>
      <c r="V120" s="238"/>
      <c r="X120" s="233"/>
      <c r="Y120" s="235"/>
      <c r="Z120" s="235"/>
      <c r="AA120" s="235"/>
      <c r="AB120" s="233"/>
      <c r="AD120" s="233"/>
      <c r="AE120" s="235"/>
      <c r="AF120" s="233"/>
    </row>
    <row r="121" spans="8:32" ht="12.75">
      <c r="H121" s="233"/>
      <c r="I121" s="234"/>
      <c r="J121" s="234"/>
      <c r="K121" s="234"/>
      <c r="R121" s="238"/>
      <c r="S121" s="237"/>
      <c r="T121" s="238"/>
      <c r="U121" s="238"/>
      <c r="V121" s="238"/>
      <c r="X121" s="233"/>
      <c r="Y121" s="235"/>
      <c r="Z121" s="235"/>
      <c r="AA121" s="235"/>
      <c r="AB121" s="233"/>
      <c r="AD121" s="233"/>
      <c r="AE121" s="235"/>
      <c r="AF121" s="233"/>
    </row>
    <row r="122" spans="8:32" ht="12.75">
      <c r="H122" s="233"/>
      <c r="I122" s="234"/>
      <c r="J122" s="234"/>
      <c r="K122" s="234"/>
      <c r="R122" s="238"/>
      <c r="S122" s="237"/>
      <c r="T122" s="238"/>
      <c r="U122" s="238"/>
      <c r="V122" s="238"/>
      <c r="X122" s="233"/>
      <c r="Y122" s="235"/>
      <c r="Z122" s="235"/>
      <c r="AA122" s="235"/>
      <c r="AB122" s="233"/>
      <c r="AD122" s="233"/>
      <c r="AE122" s="235"/>
      <c r="AF122" s="233"/>
    </row>
    <row r="123" spans="8:32" ht="12.75">
      <c r="H123" s="233"/>
      <c r="I123" s="234"/>
      <c r="J123" s="234"/>
      <c r="K123" s="234"/>
      <c r="R123" s="238"/>
      <c r="S123" s="237"/>
      <c r="T123" s="238"/>
      <c r="U123" s="238"/>
      <c r="V123" s="238"/>
      <c r="X123" s="233"/>
      <c r="Y123" s="235"/>
      <c r="Z123" s="235"/>
      <c r="AA123" s="235"/>
      <c r="AB123" s="233"/>
      <c r="AD123" s="233"/>
      <c r="AE123" s="235"/>
      <c r="AF123" s="233"/>
    </row>
    <row r="124" spans="8:32" ht="12.75">
      <c r="H124" s="233"/>
      <c r="I124" s="234"/>
      <c r="J124" s="234"/>
      <c r="K124" s="234"/>
      <c r="R124" s="238"/>
      <c r="S124" s="237"/>
      <c r="T124" s="238"/>
      <c r="U124" s="238"/>
      <c r="V124" s="238"/>
      <c r="X124" s="233"/>
      <c r="Y124" s="235"/>
      <c r="Z124" s="235"/>
      <c r="AA124" s="235"/>
      <c r="AB124" s="233"/>
      <c r="AD124" s="233"/>
      <c r="AE124" s="235"/>
      <c r="AF124" s="233"/>
    </row>
    <row r="125" spans="8:32" ht="12.75">
      <c r="H125" s="233"/>
      <c r="I125" s="234"/>
      <c r="J125" s="234"/>
      <c r="K125" s="234"/>
      <c r="R125" s="238"/>
      <c r="S125" s="237"/>
      <c r="T125" s="238"/>
      <c r="U125" s="238"/>
      <c r="V125" s="238"/>
      <c r="X125" s="233"/>
      <c r="Y125" s="235"/>
      <c r="Z125" s="235"/>
      <c r="AA125" s="235"/>
      <c r="AB125" s="233"/>
      <c r="AD125" s="233"/>
      <c r="AE125" s="235"/>
      <c r="AF125" s="233"/>
    </row>
    <row r="126" spans="8:32" ht="12.75">
      <c r="H126" s="233"/>
      <c r="I126" s="234"/>
      <c r="J126" s="234"/>
      <c r="K126" s="234"/>
      <c r="R126" s="238"/>
      <c r="S126" s="237"/>
      <c r="T126" s="238"/>
      <c r="U126" s="238"/>
      <c r="V126" s="238"/>
      <c r="X126" s="233"/>
      <c r="Y126" s="235"/>
      <c r="Z126" s="235"/>
      <c r="AA126" s="235"/>
      <c r="AB126" s="233"/>
      <c r="AD126" s="233"/>
      <c r="AE126" s="235"/>
      <c r="AF126" s="233"/>
    </row>
    <row r="127" spans="8:32" ht="12.75">
      <c r="H127" s="233"/>
      <c r="I127" s="234"/>
      <c r="J127" s="234"/>
      <c r="K127" s="234"/>
      <c r="R127" s="238"/>
      <c r="S127" s="237"/>
      <c r="T127" s="238"/>
      <c r="U127" s="238"/>
      <c r="V127" s="238"/>
      <c r="X127" s="233"/>
      <c r="Y127" s="235"/>
      <c r="Z127" s="235"/>
      <c r="AA127" s="235"/>
      <c r="AB127" s="233"/>
      <c r="AD127" s="233"/>
      <c r="AE127" s="235"/>
      <c r="AF127" s="233"/>
    </row>
    <row r="128" spans="8:32" ht="12.75">
      <c r="H128" s="233"/>
      <c r="I128" s="234"/>
      <c r="J128" s="234"/>
      <c r="K128" s="234"/>
      <c r="R128" s="238"/>
      <c r="S128" s="237"/>
      <c r="T128" s="238"/>
      <c r="U128" s="238"/>
      <c r="V128" s="238"/>
      <c r="X128" s="233"/>
      <c r="Y128" s="235"/>
      <c r="Z128" s="235"/>
      <c r="AA128" s="235"/>
      <c r="AB128" s="233"/>
      <c r="AD128" s="233"/>
      <c r="AE128" s="235"/>
      <c r="AF128" s="233"/>
    </row>
    <row r="129" spans="8:32" ht="12.75">
      <c r="H129" s="233"/>
      <c r="I129" s="234"/>
      <c r="J129" s="234"/>
      <c r="K129" s="234"/>
      <c r="R129" s="238"/>
      <c r="S129" s="237"/>
      <c r="T129" s="238"/>
      <c r="U129" s="238"/>
      <c r="V129" s="238"/>
      <c r="X129" s="233"/>
      <c r="Y129" s="235"/>
      <c r="Z129" s="235"/>
      <c r="AA129" s="235"/>
      <c r="AB129" s="233"/>
      <c r="AD129" s="233"/>
      <c r="AE129" s="235"/>
      <c r="AF129" s="233"/>
    </row>
    <row r="130" spans="8:32" ht="12.75">
      <c r="H130" s="233"/>
      <c r="I130" s="234"/>
      <c r="J130" s="234"/>
      <c r="K130" s="234"/>
      <c r="R130" s="238"/>
      <c r="S130" s="237"/>
      <c r="T130" s="238"/>
      <c r="U130" s="238"/>
      <c r="V130" s="238"/>
      <c r="X130" s="233"/>
      <c r="Y130" s="235"/>
      <c r="Z130" s="235"/>
      <c r="AA130" s="235"/>
      <c r="AB130" s="233"/>
      <c r="AD130" s="233"/>
      <c r="AE130" s="235"/>
      <c r="AF130" s="233"/>
    </row>
    <row r="131" spans="8:32" ht="12.75">
      <c r="H131" s="233"/>
      <c r="I131" s="234"/>
      <c r="J131" s="234"/>
      <c r="K131" s="234"/>
      <c r="R131" s="238"/>
      <c r="S131" s="237"/>
      <c r="T131" s="238"/>
      <c r="U131" s="238"/>
      <c r="V131" s="238"/>
      <c r="X131" s="233"/>
      <c r="Y131" s="235"/>
      <c r="Z131" s="235"/>
      <c r="AA131" s="235"/>
      <c r="AB131" s="233"/>
      <c r="AD131" s="233"/>
      <c r="AE131" s="235"/>
      <c r="AF131" s="233"/>
    </row>
    <row r="132" spans="8:32" ht="12.75">
      <c r="H132" s="233"/>
      <c r="I132" s="234"/>
      <c r="J132" s="234"/>
      <c r="K132" s="234"/>
      <c r="R132" s="238"/>
      <c r="S132" s="237"/>
      <c r="T132" s="238"/>
      <c r="U132" s="238"/>
      <c r="V132" s="238"/>
      <c r="X132" s="233"/>
      <c r="Y132" s="235"/>
      <c r="Z132" s="235"/>
      <c r="AA132" s="235"/>
      <c r="AB132" s="233"/>
      <c r="AD132" s="233"/>
      <c r="AE132" s="235"/>
      <c r="AF132" s="233"/>
    </row>
    <row r="133" spans="8:32" ht="12.75">
      <c r="H133" s="233"/>
      <c r="I133" s="234"/>
      <c r="J133" s="234"/>
      <c r="K133" s="234"/>
      <c r="R133" s="238"/>
      <c r="S133" s="237"/>
      <c r="T133" s="238"/>
      <c r="U133" s="238"/>
      <c r="V133" s="238"/>
      <c r="X133" s="233"/>
      <c r="Y133" s="235"/>
      <c r="Z133" s="235"/>
      <c r="AA133" s="235"/>
      <c r="AB133" s="233"/>
      <c r="AD133" s="233"/>
      <c r="AE133" s="235"/>
      <c r="AF133" s="233"/>
    </row>
    <row r="134" spans="8:32" ht="12.75">
      <c r="H134" s="233"/>
      <c r="I134" s="234"/>
      <c r="J134" s="234"/>
      <c r="K134" s="234"/>
      <c r="R134" s="238"/>
      <c r="S134" s="237"/>
      <c r="T134" s="238"/>
      <c r="U134" s="238"/>
      <c r="V134" s="238"/>
      <c r="X134" s="233"/>
      <c r="Y134" s="235"/>
      <c r="Z134" s="235"/>
      <c r="AA134" s="235"/>
      <c r="AB134" s="233"/>
      <c r="AD134" s="233"/>
      <c r="AE134" s="235"/>
      <c r="AF134" s="233"/>
    </row>
    <row r="135" spans="8:32" ht="12.75">
      <c r="H135" s="233"/>
      <c r="I135" s="234"/>
      <c r="J135" s="234"/>
      <c r="K135" s="234"/>
      <c r="R135" s="238"/>
      <c r="S135" s="237"/>
      <c r="T135" s="238"/>
      <c r="U135" s="238"/>
      <c r="V135" s="238"/>
      <c r="X135" s="233"/>
      <c r="Y135" s="235"/>
      <c r="Z135" s="235"/>
      <c r="AA135" s="235"/>
      <c r="AB135" s="233"/>
      <c r="AD135" s="233"/>
      <c r="AE135" s="235"/>
      <c r="AF135" s="233"/>
    </row>
    <row r="136" spans="8:32" ht="12.75">
      <c r="H136" s="233"/>
      <c r="I136" s="234"/>
      <c r="J136" s="234"/>
      <c r="K136" s="234"/>
      <c r="R136" s="238"/>
      <c r="S136" s="237"/>
      <c r="T136" s="238"/>
      <c r="U136" s="238"/>
      <c r="V136" s="238"/>
      <c r="X136" s="233"/>
      <c r="Y136" s="235"/>
      <c r="Z136" s="235"/>
      <c r="AA136" s="235"/>
      <c r="AB136" s="233"/>
      <c r="AD136" s="233"/>
      <c r="AE136" s="235"/>
      <c r="AF136" s="233"/>
    </row>
    <row r="137" spans="8:32" ht="12.75">
      <c r="H137" s="233"/>
      <c r="I137" s="234"/>
      <c r="J137" s="234"/>
      <c r="K137" s="234"/>
      <c r="R137" s="238"/>
      <c r="S137" s="237"/>
      <c r="T137" s="238"/>
      <c r="U137" s="238"/>
      <c r="V137" s="238"/>
      <c r="X137" s="233"/>
      <c r="Y137" s="235"/>
      <c r="Z137" s="235"/>
      <c r="AA137" s="235"/>
      <c r="AB137" s="233"/>
      <c r="AD137" s="233"/>
      <c r="AE137" s="235"/>
      <c r="AF137" s="233"/>
    </row>
    <row r="138" spans="8:32" ht="12.75">
      <c r="H138" s="233"/>
      <c r="I138" s="234"/>
      <c r="J138" s="234"/>
      <c r="K138" s="234"/>
      <c r="R138" s="238"/>
      <c r="S138" s="237"/>
      <c r="T138" s="238"/>
      <c r="U138" s="238"/>
      <c r="V138" s="238"/>
      <c r="X138" s="233"/>
      <c r="Y138" s="235"/>
      <c r="Z138" s="235"/>
      <c r="AA138" s="235"/>
      <c r="AB138" s="233"/>
      <c r="AD138" s="233"/>
      <c r="AE138" s="235"/>
      <c r="AF138" s="233"/>
    </row>
    <row r="139" spans="8:32" ht="12.75">
      <c r="H139" s="233"/>
      <c r="I139" s="234"/>
      <c r="J139" s="234"/>
      <c r="K139" s="234"/>
      <c r="R139" s="238"/>
      <c r="S139" s="237"/>
      <c r="T139" s="238"/>
      <c r="U139" s="238"/>
      <c r="V139" s="238"/>
      <c r="X139" s="233"/>
      <c r="Y139" s="235"/>
      <c r="Z139" s="235"/>
      <c r="AA139" s="235"/>
      <c r="AB139" s="233"/>
      <c r="AD139" s="233"/>
      <c r="AE139" s="235"/>
      <c r="AF139" s="233"/>
    </row>
    <row r="140" spans="8:32" ht="12.75">
      <c r="H140" s="233"/>
      <c r="I140" s="234"/>
      <c r="J140" s="234"/>
      <c r="K140" s="234"/>
      <c r="R140" s="238"/>
      <c r="S140" s="237"/>
      <c r="T140" s="238"/>
      <c r="U140" s="238"/>
      <c r="V140" s="238"/>
      <c r="X140" s="233"/>
      <c r="Y140" s="235"/>
      <c r="Z140" s="235"/>
      <c r="AA140" s="235"/>
      <c r="AB140" s="233"/>
      <c r="AD140" s="233"/>
      <c r="AE140" s="235"/>
      <c r="AF140" s="233"/>
    </row>
    <row r="141" spans="8:32" ht="12.75">
      <c r="H141" s="233"/>
      <c r="I141" s="234"/>
      <c r="J141" s="234"/>
      <c r="K141" s="234"/>
      <c r="R141" s="238"/>
      <c r="S141" s="237"/>
      <c r="T141" s="238"/>
      <c r="U141" s="238"/>
      <c r="V141" s="238"/>
      <c r="X141" s="233"/>
      <c r="Y141" s="235"/>
      <c r="Z141" s="235"/>
      <c r="AA141" s="235"/>
      <c r="AB141" s="233"/>
      <c r="AD141" s="233"/>
      <c r="AE141" s="235"/>
      <c r="AF141" s="233"/>
    </row>
    <row r="142" spans="8:32" ht="12.75">
      <c r="H142" s="233"/>
      <c r="I142" s="234"/>
      <c r="J142" s="234"/>
      <c r="K142" s="234"/>
      <c r="R142" s="238"/>
      <c r="S142" s="237"/>
      <c r="T142" s="238"/>
      <c r="U142" s="238"/>
      <c r="V142" s="238"/>
      <c r="X142" s="233"/>
      <c r="Y142" s="235"/>
      <c r="Z142" s="235"/>
      <c r="AA142" s="235"/>
      <c r="AB142" s="233"/>
      <c r="AD142" s="233"/>
      <c r="AE142" s="235"/>
      <c r="AF142" s="233"/>
    </row>
    <row r="143" spans="8:32" ht="12.75">
      <c r="H143" s="233"/>
      <c r="I143" s="234"/>
      <c r="J143" s="234"/>
      <c r="K143" s="234"/>
      <c r="R143" s="238"/>
      <c r="S143" s="237"/>
      <c r="T143" s="238"/>
      <c r="U143" s="238"/>
      <c r="V143" s="238"/>
      <c r="X143" s="233"/>
      <c r="Y143" s="235"/>
      <c r="Z143" s="235"/>
      <c r="AA143" s="235"/>
      <c r="AB143" s="233"/>
      <c r="AD143" s="233"/>
      <c r="AE143" s="235"/>
      <c r="AF143" s="233"/>
    </row>
    <row r="144" spans="8:32" ht="12.75">
      <c r="H144" s="233"/>
      <c r="I144" s="234"/>
      <c r="J144" s="234"/>
      <c r="K144" s="234"/>
      <c r="R144" s="238"/>
      <c r="S144" s="237"/>
      <c r="T144" s="238"/>
      <c r="U144" s="238"/>
      <c r="V144" s="238"/>
      <c r="X144" s="233"/>
      <c r="Y144" s="235"/>
      <c r="Z144" s="235"/>
      <c r="AA144" s="235"/>
      <c r="AB144" s="233"/>
      <c r="AD144" s="233"/>
      <c r="AE144" s="235"/>
      <c r="AF144" s="233"/>
    </row>
    <row r="145" spans="8:32" ht="12.75">
      <c r="H145" s="233"/>
      <c r="I145" s="234"/>
      <c r="J145" s="234"/>
      <c r="K145" s="234"/>
      <c r="R145" s="238"/>
      <c r="S145" s="237"/>
      <c r="T145" s="238"/>
      <c r="U145" s="238"/>
      <c r="V145" s="238"/>
      <c r="X145" s="233"/>
      <c r="Y145" s="235"/>
      <c r="Z145" s="235"/>
      <c r="AA145" s="235"/>
      <c r="AB145" s="233"/>
      <c r="AD145" s="233"/>
      <c r="AE145" s="235"/>
      <c r="AF145" s="233"/>
    </row>
    <row r="146" spans="8:32" ht="12.75">
      <c r="H146" s="233"/>
      <c r="I146" s="234"/>
      <c r="J146" s="234"/>
      <c r="K146" s="234"/>
      <c r="R146" s="238"/>
      <c r="S146" s="237"/>
      <c r="T146" s="238"/>
      <c r="U146" s="238"/>
      <c r="V146" s="238"/>
      <c r="X146" s="233"/>
      <c r="Y146" s="235"/>
      <c r="Z146" s="235"/>
      <c r="AA146" s="235"/>
      <c r="AB146" s="233"/>
      <c r="AD146" s="233"/>
      <c r="AE146" s="235"/>
      <c r="AF146" s="233"/>
    </row>
    <row r="147" spans="8:32" ht="12.75">
      <c r="H147" s="233"/>
      <c r="I147" s="234"/>
      <c r="J147" s="234"/>
      <c r="K147" s="234"/>
      <c r="R147" s="238"/>
      <c r="S147" s="237"/>
      <c r="T147" s="238"/>
      <c r="U147" s="238"/>
      <c r="V147" s="238"/>
      <c r="X147" s="233"/>
      <c r="Y147" s="235"/>
      <c r="Z147" s="235"/>
      <c r="AA147" s="235"/>
      <c r="AB147" s="233"/>
      <c r="AD147" s="233"/>
      <c r="AE147" s="235"/>
      <c r="AF147" s="233"/>
    </row>
    <row r="148" spans="8:32" ht="12.75">
      <c r="H148" s="233"/>
      <c r="I148" s="234"/>
      <c r="J148" s="234"/>
      <c r="K148" s="234"/>
      <c r="R148" s="238"/>
      <c r="S148" s="237"/>
      <c r="T148" s="238"/>
      <c r="U148" s="238"/>
      <c r="V148" s="238"/>
      <c r="X148" s="233"/>
      <c r="Y148" s="235"/>
      <c r="Z148" s="235"/>
      <c r="AA148" s="235"/>
      <c r="AB148" s="233"/>
      <c r="AD148" s="233"/>
      <c r="AE148" s="235"/>
      <c r="AF148" s="233"/>
    </row>
    <row r="149" spans="8:32" ht="12.75">
      <c r="H149" s="233"/>
      <c r="I149" s="234"/>
      <c r="J149" s="234"/>
      <c r="K149" s="234"/>
      <c r="R149" s="238"/>
      <c r="S149" s="237"/>
      <c r="T149" s="238"/>
      <c r="U149" s="238"/>
      <c r="V149" s="238"/>
      <c r="X149" s="233"/>
      <c r="Y149" s="235"/>
      <c r="Z149" s="235"/>
      <c r="AA149" s="235"/>
      <c r="AB149" s="233"/>
      <c r="AD149" s="233"/>
      <c r="AE149" s="235"/>
      <c r="AF149" s="233"/>
    </row>
    <row r="150" spans="8:32" ht="12.75">
      <c r="H150" s="233"/>
      <c r="I150" s="234"/>
      <c r="J150" s="234"/>
      <c r="K150" s="234"/>
      <c r="R150" s="238"/>
      <c r="S150" s="237"/>
      <c r="T150" s="238"/>
      <c r="U150" s="238"/>
      <c r="V150" s="238"/>
      <c r="X150" s="233"/>
      <c r="Y150" s="235"/>
      <c r="Z150" s="235"/>
      <c r="AA150" s="235"/>
      <c r="AB150" s="233"/>
      <c r="AD150" s="233"/>
      <c r="AE150" s="235"/>
      <c r="AF150" s="233"/>
    </row>
    <row r="151" spans="8:17" ht="13.5">
      <c r="H151" s="72"/>
      <c r="I151" s="239"/>
      <c r="J151" s="239"/>
      <c r="K151" s="239"/>
      <c r="Q151" s="240" t="s">
        <v>569</v>
      </c>
    </row>
    <row r="152" spans="8:11" ht="12.75" customHeight="1">
      <c r="H152" s="72"/>
      <c r="I152" s="239"/>
      <c r="J152" s="239"/>
      <c r="K152" s="239"/>
    </row>
    <row r="153" spans="8:11" ht="12.75" customHeight="1">
      <c r="H153" s="72"/>
      <c r="I153" s="239"/>
      <c r="J153" s="239"/>
      <c r="K153" s="239"/>
    </row>
    <row r="154" spans="8:11" ht="12.75" customHeight="1">
      <c r="H154" s="72"/>
      <c r="I154" s="239"/>
      <c r="J154" s="239"/>
      <c r="K154" s="239"/>
    </row>
    <row r="155" spans="8:11" ht="12.75" customHeight="1">
      <c r="H155" s="72"/>
      <c r="I155" s="239"/>
      <c r="J155" s="239"/>
      <c r="K155" s="239"/>
    </row>
    <row r="156" spans="8:11" ht="12.75">
      <c r="H156" s="72"/>
      <c r="I156" s="239"/>
      <c r="J156" s="239"/>
      <c r="K156" s="239"/>
    </row>
    <row r="157" spans="8:11" ht="12.75">
      <c r="H157" s="72"/>
      <c r="I157" s="239"/>
      <c r="J157" s="239"/>
      <c r="K157" s="239"/>
    </row>
    <row r="158" spans="8:11" ht="12.75">
      <c r="H158" s="72"/>
      <c r="I158" s="239"/>
      <c r="J158" s="239"/>
      <c r="K158" s="239"/>
    </row>
    <row r="159" spans="8:11" ht="12.75">
      <c r="H159" s="72"/>
      <c r="I159" s="239"/>
      <c r="J159" s="239"/>
      <c r="K159" s="239"/>
    </row>
    <row r="160" spans="8:11" ht="12.75">
      <c r="H160" s="72"/>
      <c r="I160" s="239"/>
      <c r="J160" s="239"/>
      <c r="K160" s="239"/>
    </row>
    <row r="161" spans="8:11" ht="12.75">
      <c r="H161" s="72"/>
      <c r="I161" s="239"/>
      <c r="J161" s="239"/>
      <c r="K161" s="239"/>
    </row>
    <row r="162" spans="8:11" ht="12.75">
      <c r="H162" s="72"/>
      <c r="I162" s="239"/>
      <c r="J162" s="239"/>
      <c r="K162" s="239"/>
    </row>
    <row r="163" spans="8:11" ht="12.75">
      <c r="H163" s="72"/>
      <c r="I163" s="239"/>
      <c r="J163" s="239"/>
      <c r="K163" s="239"/>
    </row>
    <row r="164" spans="8:11" ht="12.75">
      <c r="H164" s="72"/>
      <c r="I164" s="239"/>
      <c r="J164" s="239"/>
      <c r="K164" s="239"/>
    </row>
    <row r="165" spans="8:11" ht="12.75">
      <c r="H165" s="72"/>
      <c r="I165" s="239"/>
      <c r="J165" s="239"/>
      <c r="K165" s="239"/>
    </row>
    <row r="166" spans="8:11" ht="12.75">
      <c r="H166" s="72"/>
      <c r="I166" s="239"/>
      <c r="J166" s="239"/>
      <c r="K166" s="239"/>
    </row>
    <row r="167" spans="8:11" ht="12.75">
      <c r="H167" s="72"/>
      <c r="I167" s="239"/>
      <c r="J167" s="239"/>
      <c r="K167" s="239"/>
    </row>
    <row r="168" spans="8:11" ht="12.75">
      <c r="H168" s="72"/>
      <c r="I168" s="239"/>
      <c r="J168" s="239"/>
      <c r="K168" s="239"/>
    </row>
    <row r="169" spans="8:11" ht="12.75">
      <c r="H169" s="72"/>
      <c r="I169" s="239"/>
      <c r="J169" s="239"/>
      <c r="K169" s="239"/>
    </row>
    <row r="170" spans="8:11" ht="12.75">
      <c r="H170" s="72"/>
      <c r="I170" s="239"/>
      <c r="J170" s="239"/>
      <c r="K170" s="239"/>
    </row>
    <row r="171" spans="8:11" ht="12.75">
      <c r="H171" s="72"/>
      <c r="I171" s="239"/>
      <c r="J171" s="239"/>
      <c r="K171" s="239"/>
    </row>
    <row r="172" spans="8:11" ht="12.75">
      <c r="H172" s="72"/>
      <c r="I172" s="239"/>
      <c r="J172" s="239"/>
      <c r="K172" s="239"/>
    </row>
    <row r="173" spans="8:11" ht="12.75">
      <c r="H173" s="72"/>
      <c r="I173" s="239"/>
      <c r="J173" s="239"/>
      <c r="K173" s="239"/>
    </row>
    <row r="174" spans="8:11" ht="12.75">
      <c r="H174" s="72"/>
      <c r="I174" s="239"/>
      <c r="J174" s="239"/>
      <c r="K174" s="239"/>
    </row>
    <row r="175" spans="8:11" ht="12.75">
      <c r="H175" s="72"/>
      <c r="I175" s="239"/>
      <c r="J175" s="239"/>
      <c r="K175" s="239"/>
    </row>
    <row r="176" spans="8:11" ht="12.75">
      <c r="H176" s="72"/>
      <c r="I176" s="239"/>
      <c r="J176" s="239"/>
      <c r="K176" s="239"/>
    </row>
    <row r="177" spans="8:11" ht="12.75">
      <c r="H177" s="72"/>
      <c r="I177" s="239"/>
      <c r="J177" s="239"/>
      <c r="K177" s="239"/>
    </row>
    <row r="178" spans="8:11" ht="12.75">
      <c r="H178" s="72"/>
      <c r="I178" s="239"/>
      <c r="J178" s="239"/>
      <c r="K178" s="239"/>
    </row>
    <row r="179" spans="8:11" ht="12.75">
      <c r="H179" s="72"/>
      <c r="I179" s="239"/>
      <c r="J179" s="239"/>
      <c r="K179" s="239"/>
    </row>
    <row r="180" spans="8:11" ht="12.75">
      <c r="H180" s="72"/>
      <c r="I180" s="239"/>
      <c r="J180" s="239"/>
      <c r="K180" s="239"/>
    </row>
    <row r="181" spans="8:11" ht="12.75">
      <c r="H181" s="72"/>
      <c r="I181" s="239"/>
      <c r="J181" s="239"/>
      <c r="K181" s="239"/>
    </row>
    <row r="182" spans="8:11" ht="12.75">
      <c r="H182" s="72"/>
      <c r="I182" s="239"/>
      <c r="J182" s="239"/>
      <c r="K182" s="239"/>
    </row>
    <row r="183" spans="8:11" ht="12.75">
      <c r="H183" s="72"/>
      <c r="I183" s="239"/>
      <c r="J183" s="239"/>
      <c r="K183" s="239"/>
    </row>
    <row r="184" spans="8:11" ht="12.75">
      <c r="H184" s="72"/>
      <c r="I184" s="239"/>
      <c r="J184" s="239"/>
      <c r="K184" s="239"/>
    </row>
    <row r="185" spans="8:11" ht="12.75">
      <c r="H185" s="72"/>
      <c r="I185" s="239"/>
      <c r="J185" s="239"/>
      <c r="K185" s="239"/>
    </row>
    <row r="186" spans="8:11" ht="12.75">
      <c r="H186" s="72"/>
      <c r="I186" s="239"/>
      <c r="J186" s="239"/>
      <c r="K186" s="239"/>
    </row>
    <row r="187" spans="8:11" ht="12.75">
      <c r="H187" s="72"/>
      <c r="I187" s="239"/>
      <c r="J187" s="239"/>
      <c r="K187" s="239"/>
    </row>
    <row r="188" spans="8:11" ht="12.75">
      <c r="H188" s="72"/>
      <c r="I188" s="239"/>
      <c r="J188" s="239"/>
      <c r="K188" s="239"/>
    </row>
    <row r="189" spans="8:11" ht="12.75">
      <c r="H189" s="72"/>
      <c r="I189" s="239"/>
      <c r="J189" s="239"/>
      <c r="K189" s="239"/>
    </row>
    <row r="190" spans="8:11" ht="12.75">
      <c r="H190" s="72"/>
      <c r="I190" s="239"/>
      <c r="J190" s="239"/>
      <c r="K190" s="239"/>
    </row>
    <row r="191" spans="8:11" ht="12.75">
      <c r="H191" s="72"/>
      <c r="I191" s="239"/>
      <c r="J191" s="239"/>
      <c r="K191" s="239"/>
    </row>
    <row r="192" spans="8:11" ht="12.75">
      <c r="H192" s="72"/>
      <c r="I192" s="239"/>
      <c r="J192" s="239"/>
      <c r="K192" s="239"/>
    </row>
    <row r="193" spans="8:11" ht="12.75">
      <c r="H193" s="72"/>
      <c r="I193" s="239"/>
      <c r="J193" s="239"/>
      <c r="K193" s="239"/>
    </row>
    <row r="194" spans="8:11" ht="12.75">
      <c r="H194" s="72"/>
      <c r="I194" s="239"/>
      <c r="J194" s="239"/>
      <c r="K194" s="239"/>
    </row>
    <row r="195" spans="8:11" ht="12.75">
      <c r="H195" s="72"/>
      <c r="I195" s="239"/>
      <c r="J195" s="239"/>
      <c r="K195" s="239"/>
    </row>
    <row r="196" spans="8:11" ht="12.75">
      <c r="H196" s="72"/>
      <c r="I196" s="239"/>
      <c r="J196" s="239"/>
      <c r="K196" s="239"/>
    </row>
    <row r="197" spans="8:11" ht="12.75">
      <c r="H197" s="72"/>
      <c r="I197" s="239"/>
      <c r="J197" s="239"/>
      <c r="K197" s="239"/>
    </row>
    <row r="198" spans="8:11" ht="12.75">
      <c r="H198" s="72"/>
      <c r="I198" s="239"/>
      <c r="J198" s="239"/>
      <c r="K198" s="239"/>
    </row>
    <row r="199" spans="8:11" ht="12.75">
      <c r="H199" s="72"/>
      <c r="I199" s="239"/>
      <c r="J199" s="239"/>
      <c r="K199" s="239"/>
    </row>
    <row r="200" spans="8:11" ht="12.75">
      <c r="H200" s="72"/>
      <c r="I200" s="239"/>
      <c r="J200" s="239"/>
      <c r="K200" s="239"/>
    </row>
    <row r="201" spans="8:11" ht="12.75">
      <c r="H201" s="72"/>
      <c r="I201" s="239"/>
      <c r="J201" s="239"/>
      <c r="K201" s="239"/>
    </row>
    <row r="202" spans="8:11" ht="12.75">
      <c r="H202" s="72"/>
      <c r="I202" s="239"/>
      <c r="J202" s="239"/>
      <c r="K202" s="239"/>
    </row>
    <row r="203" spans="8:11" ht="12.75">
      <c r="H203" s="72"/>
      <c r="I203" s="239"/>
      <c r="J203" s="239"/>
      <c r="K203" s="239"/>
    </row>
    <row r="204" spans="8:11" ht="12.75">
      <c r="H204" s="72"/>
      <c r="I204" s="239"/>
      <c r="J204" s="239"/>
      <c r="K204" s="239"/>
    </row>
    <row r="205" spans="8:11" ht="12.75">
      <c r="H205" s="72"/>
      <c r="I205" s="239"/>
      <c r="J205" s="239"/>
      <c r="K205" s="239"/>
    </row>
    <row r="206" spans="8:11" ht="12.75">
      <c r="H206" s="72"/>
      <c r="I206" s="239"/>
      <c r="J206" s="239"/>
      <c r="K206" s="239"/>
    </row>
    <row r="207" spans="8:11" ht="12.75">
      <c r="H207" s="72"/>
      <c r="I207" s="239"/>
      <c r="J207" s="239"/>
      <c r="K207" s="239"/>
    </row>
    <row r="208" spans="8:11" ht="12.75">
      <c r="H208" s="72"/>
      <c r="I208" s="239"/>
      <c r="J208" s="239"/>
      <c r="K208" s="239"/>
    </row>
    <row r="209" spans="8:11" ht="12.75">
      <c r="H209" s="72"/>
      <c r="I209" s="239"/>
      <c r="J209" s="239"/>
      <c r="K209" s="239"/>
    </row>
    <row r="210" spans="8:11" ht="12.75">
      <c r="H210" s="72"/>
      <c r="I210" s="239"/>
      <c r="J210" s="239"/>
      <c r="K210" s="239"/>
    </row>
    <row r="211" spans="8:11" ht="12.75">
      <c r="H211" s="72"/>
      <c r="I211" s="239"/>
      <c r="J211" s="239"/>
      <c r="K211" s="239"/>
    </row>
    <row r="212" spans="8:11" ht="12.75">
      <c r="H212" s="72"/>
      <c r="I212" s="239"/>
      <c r="J212" s="239"/>
      <c r="K212" s="239"/>
    </row>
    <row r="213" spans="8:11" ht="12.75">
      <c r="H213" s="72"/>
      <c r="I213" s="239"/>
      <c r="J213" s="239"/>
      <c r="K213" s="239"/>
    </row>
    <row r="214" spans="8:11" ht="12.75">
      <c r="H214" s="72"/>
      <c r="I214" s="239"/>
      <c r="J214" s="239"/>
      <c r="K214" s="239"/>
    </row>
    <row r="215" spans="8:11" ht="12.75">
      <c r="H215" s="72"/>
      <c r="I215" s="239"/>
      <c r="J215" s="239"/>
      <c r="K215" s="239"/>
    </row>
    <row r="216" spans="8:11" ht="12.75">
      <c r="H216" s="72"/>
      <c r="I216" s="239"/>
      <c r="J216" s="239"/>
      <c r="K216" s="239"/>
    </row>
    <row r="217" spans="8:11" ht="12.75">
      <c r="H217" s="72"/>
      <c r="I217" s="239"/>
      <c r="J217" s="239"/>
      <c r="K217" s="239"/>
    </row>
    <row r="218" spans="8:11" ht="12.75">
      <c r="H218" s="72"/>
      <c r="I218" s="239"/>
      <c r="J218" s="239"/>
      <c r="K218" s="239"/>
    </row>
    <row r="219" spans="8:11" ht="12.75">
      <c r="H219" s="72"/>
      <c r="I219" s="239"/>
      <c r="J219" s="239"/>
      <c r="K219" s="239"/>
    </row>
    <row r="220" spans="8:11" ht="12.75">
      <c r="H220" s="72"/>
      <c r="I220" s="239"/>
      <c r="J220" s="239"/>
      <c r="K220" s="239"/>
    </row>
    <row r="221" spans="8:11" ht="12.75">
      <c r="H221" s="72"/>
      <c r="I221" s="239"/>
      <c r="J221" s="239"/>
      <c r="K221" s="239"/>
    </row>
    <row r="222" spans="8:11" ht="12.75">
      <c r="H222" s="72"/>
      <c r="I222" s="239"/>
      <c r="J222" s="239"/>
      <c r="K222" s="239"/>
    </row>
    <row r="223" spans="8:11" ht="12.75">
      <c r="H223" s="72"/>
      <c r="I223" s="239"/>
      <c r="J223" s="239"/>
      <c r="K223" s="239"/>
    </row>
    <row r="224" spans="8:11" ht="12.75">
      <c r="H224" s="72"/>
      <c r="I224" s="239"/>
      <c r="J224" s="239"/>
      <c r="K224" s="239"/>
    </row>
    <row r="225" spans="8:11" ht="12.75">
      <c r="H225" s="72"/>
      <c r="I225" s="239"/>
      <c r="J225" s="239"/>
      <c r="K225" s="239"/>
    </row>
    <row r="226" spans="8:11" ht="12.75">
      <c r="H226" s="72"/>
      <c r="I226" s="239"/>
      <c r="J226" s="239"/>
      <c r="K226" s="239"/>
    </row>
    <row r="227" spans="8:11" ht="12.75">
      <c r="H227" s="72"/>
      <c r="I227" s="239"/>
      <c r="J227" s="239"/>
      <c r="K227" s="239"/>
    </row>
    <row r="228" spans="8:11" ht="12.75">
      <c r="H228" s="72"/>
      <c r="I228" s="239"/>
      <c r="J228" s="239"/>
      <c r="K228" s="239"/>
    </row>
    <row r="229" spans="8:11" ht="12.75">
      <c r="H229" s="72"/>
      <c r="I229" s="239"/>
      <c r="J229" s="239"/>
      <c r="K229" s="239"/>
    </row>
    <row r="230" spans="8:11" ht="12.75">
      <c r="H230" s="72"/>
      <c r="I230" s="239"/>
      <c r="J230" s="239"/>
      <c r="K230" s="239"/>
    </row>
    <row r="231" spans="8:11" ht="12.75">
      <c r="H231" s="72"/>
      <c r="I231" s="239"/>
      <c r="J231" s="239"/>
      <c r="K231" s="239"/>
    </row>
    <row r="232" spans="8:11" ht="12.75">
      <c r="H232" s="72"/>
      <c r="I232" s="239"/>
      <c r="J232" s="239"/>
      <c r="K232" s="239"/>
    </row>
    <row r="233" spans="8:11" ht="12.75">
      <c r="H233" s="72"/>
      <c r="I233" s="239"/>
      <c r="J233" s="239"/>
      <c r="K233" s="239"/>
    </row>
    <row r="234" spans="8:11" ht="12.75">
      <c r="H234" s="72"/>
      <c r="I234" s="239"/>
      <c r="J234" s="239"/>
      <c r="K234" s="239"/>
    </row>
    <row r="235" spans="8:11" ht="12.75">
      <c r="H235" s="72"/>
      <c r="I235" s="239"/>
      <c r="J235" s="239"/>
      <c r="K235" s="239"/>
    </row>
    <row r="236" spans="8:11" ht="12.75">
      <c r="H236" s="72"/>
      <c r="I236" s="239"/>
      <c r="J236" s="239"/>
      <c r="K236" s="239"/>
    </row>
    <row r="237" spans="8:11" ht="12.75">
      <c r="H237" s="72"/>
      <c r="I237" s="239"/>
      <c r="J237" s="239"/>
      <c r="K237" s="239"/>
    </row>
    <row r="238" spans="8:11" ht="12.75">
      <c r="H238" s="72"/>
      <c r="I238" s="239"/>
      <c r="J238" s="239"/>
      <c r="K238" s="239"/>
    </row>
    <row r="239" spans="8:11" ht="12.75">
      <c r="H239" s="72"/>
      <c r="I239" s="239"/>
      <c r="J239" s="239"/>
      <c r="K239" s="239"/>
    </row>
    <row r="240" spans="8:11" ht="12.75">
      <c r="H240" s="72"/>
      <c r="I240" s="239"/>
      <c r="J240" s="239"/>
      <c r="K240" s="239"/>
    </row>
    <row r="241" spans="8:11" ht="12.75">
      <c r="H241" s="72"/>
      <c r="I241" s="239"/>
      <c r="J241" s="239"/>
      <c r="K241" s="239"/>
    </row>
    <row r="242" spans="8:11" ht="12.75">
      <c r="H242" s="72"/>
      <c r="I242" s="239"/>
      <c r="J242" s="239"/>
      <c r="K242" s="239"/>
    </row>
    <row r="243" spans="8:11" ht="12.75">
      <c r="H243" s="72"/>
      <c r="I243" s="239"/>
      <c r="J243" s="239"/>
      <c r="K243" s="239"/>
    </row>
    <row r="244" spans="8:11" ht="12.75">
      <c r="H244" s="72"/>
      <c r="I244" s="239"/>
      <c r="J244" s="239"/>
      <c r="K244" s="239"/>
    </row>
    <row r="245" spans="8:11" ht="12.75">
      <c r="H245" s="72"/>
      <c r="I245" s="239"/>
      <c r="J245" s="239"/>
      <c r="K245" s="239"/>
    </row>
    <row r="246" spans="8:11" ht="12.75">
      <c r="H246" s="72"/>
      <c r="I246" s="239"/>
      <c r="J246" s="239"/>
      <c r="K246" s="239"/>
    </row>
    <row r="247" spans="8:11" ht="12.75">
      <c r="H247" s="72"/>
      <c r="I247" s="239"/>
      <c r="J247" s="239"/>
      <c r="K247" s="239"/>
    </row>
    <row r="248" spans="8:11" ht="12.75">
      <c r="H248" s="72"/>
      <c r="I248" s="239"/>
      <c r="J248" s="239"/>
      <c r="K248" s="239"/>
    </row>
    <row r="249" spans="8:11" ht="12.75">
      <c r="H249" s="72"/>
      <c r="I249" s="239"/>
      <c r="J249" s="239"/>
      <c r="K249" s="239"/>
    </row>
    <row r="250" spans="8:11" ht="12.75">
      <c r="H250" s="72"/>
      <c r="I250" s="239"/>
      <c r="J250" s="239"/>
      <c r="K250" s="239"/>
    </row>
    <row r="251" spans="8:11" ht="12.75">
      <c r="H251" s="72"/>
      <c r="I251" s="239"/>
      <c r="J251" s="239"/>
      <c r="K251" s="239"/>
    </row>
    <row r="252" spans="8:11" ht="12.75">
      <c r="H252" s="72"/>
      <c r="I252" s="239"/>
      <c r="J252" s="239"/>
      <c r="K252" s="239"/>
    </row>
    <row r="253" spans="8:11" ht="12.75">
      <c r="H253" s="72"/>
      <c r="I253" s="239"/>
      <c r="J253" s="239"/>
      <c r="K253" s="239"/>
    </row>
    <row r="254" spans="8:11" ht="12.75">
      <c r="H254" s="72"/>
      <c r="I254" s="239"/>
      <c r="J254" s="239"/>
      <c r="K254" s="239"/>
    </row>
    <row r="255" spans="8:11" ht="12.75">
      <c r="H255" s="72"/>
      <c r="I255" s="239"/>
      <c r="J255" s="239"/>
      <c r="K255" s="239"/>
    </row>
    <row r="256" spans="8:11" ht="12.75">
      <c r="H256" s="72"/>
      <c r="I256" s="239"/>
      <c r="J256" s="239"/>
      <c r="K256" s="239"/>
    </row>
    <row r="257" spans="8:11" ht="12.75">
      <c r="H257" s="72"/>
      <c r="I257" s="239"/>
      <c r="J257" s="239"/>
      <c r="K257" s="239"/>
    </row>
    <row r="258" spans="8:11" ht="12.75">
      <c r="H258" s="72"/>
      <c r="I258" s="239"/>
      <c r="J258" s="239"/>
      <c r="K258" s="239"/>
    </row>
    <row r="259" spans="8:11" ht="12.75">
      <c r="H259" s="72"/>
      <c r="I259" s="239"/>
      <c r="J259" s="239"/>
      <c r="K259" s="239"/>
    </row>
    <row r="260" spans="8:11" ht="12.75">
      <c r="H260" s="72"/>
      <c r="I260" s="239"/>
      <c r="J260" s="239"/>
      <c r="K260" s="239"/>
    </row>
    <row r="261" spans="8:11" ht="12.75">
      <c r="H261" s="72"/>
      <c r="I261" s="239"/>
      <c r="J261" s="239"/>
      <c r="K261" s="239"/>
    </row>
    <row r="262" spans="8:11" ht="12.75">
      <c r="H262" s="72"/>
      <c r="I262" s="239"/>
      <c r="J262" s="239"/>
      <c r="K262" s="239"/>
    </row>
    <row r="263" spans="8:11" ht="12.75">
      <c r="H263" s="72"/>
      <c r="I263" s="239"/>
      <c r="J263" s="239"/>
      <c r="K263" s="239"/>
    </row>
    <row r="264" spans="8:11" ht="12.75">
      <c r="H264" s="72"/>
      <c r="I264" s="239"/>
      <c r="J264" s="239"/>
      <c r="K264" s="239"/>
    </row>
    <row r="265" spans="8:11" ht="12.75">
      <c r="H265" s="72"/>
      <c r="I265" s="239"/>
      <c r="J265" s="239"/>
      <c r="K265" s="239"/>
    </row>
    <row r="266" spans="8:11" ht="12.75">
      <c r="H266" s="72"/>
      <c r="I266" s="239"/>
      <c r="J266" s="239"/>
      <c r="K266" s="239"/>
    </row>
    <row r="267" spans="8:11" ht="12.75">
      <c r="H267" s="72"/>
      <c r="I267" s="239"/>
      <c r="J267" s="239"/>
      <c r="K267" s="239"/>
    </row>
    <row r="268" spans="8:11" ht="12.75">
      <c r="H268" s="72"/>
      <c r="I268" s="239"/>
      <c r="J268" s="239"/>
      <c r="K268" s="239"/>
    </row>
    <row r="269" spans="8:11" ht="12.75">
      <c r="H269" s="72"/>
      <c r="I269" s="239"/>
      <c r="J269" s="239"/>
      <c r="K269" s="239"/>
    </row>
    <row r="270" spans="8:11" ht="12.75">
      <c r="H270" s="72"/>
      <c r="I270" s="239"/>
      <c r="J270" s="239"/>
      <c r="K270" s="239"/>
    </row>
    <row r="271" spans="8:11" ht="12.75">
      <c r="H271" s="72"/>
      <c r="I271" s="239"/>
      <c r="J271" s="239"/>
      <c r="K271" s="239"/>
    </row>
    <row r="272" spans="8:11" ht="12.75">
      <c r="H272" s="72"/>
      <c r="I272" s="239"/>
      <c r="J272" s="239"/>
      <c r="K272" s="239"/>
    </row>
    <row r="273" spans="8:11" ht="12.75">
      <c r="H273" s="72"/>
      <c r="I273" s="239"/>
      <c r="J273" s="239"/>
      <c r="K273" s="239"/>
    </row>
    <row r="274" spans="8:11" ht="12.75">
      <c r="H274" s="72"/>
      <c r="I274" s="239"/>
      <c r="J274" s="239"/>
      <c r="K274" s="239"/>
    </row>
    <row r="275" spans="8:11" ht="12.75">
      <c r="H275" s="72"/>
      <c r="I275" s="239"/>
      <c r="J275" s="239"/>
      <c r="K275" s="239"/>
    </row>
    <row r="276" spans="8:11" ht="12.75">
      <c r="H276" s="72"/>
      <c r="I276" s="239"/>
      <c r="J276" s="239"/>
      <c r="K276" s="239"/>
    </row>
    <row r="277" spans="8:11" ht="12.75">
      <c r="H277" s="72"/>
      <c r="I277" s="239"/>
      <c r="J277" s="239"/>
      <c r="K277" s="239"/>
    </row>
    <row r="278" spans="8:11" ht="12.75">
      <c r="H278" s="72"/>
      <c r="I278" s="239"/>
      <c r="J278" s="239"/>
      <c r="K278" s="239"/>
    </row>
    <row r="279" spans="8:11" ht="12.75">
      <c r="H279" s="72"/>
      <c r="I279" s="239"/>
      <c r="J279" s="239"/>
      <c r="K279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David Steeman</cp:lastModifiedBy>
  <cp:lastPrinted>2013-09-03T07:47:47Z</cp:lastPrinted>
  <dcterms:created xsi:type="dcterms:W3CDTF">2012-01-16T16:44:29Z</dcterms:created>
  <dcterms:modified xsi:type="dcterms:W3CDTF">2014-03-21T20:30:27Z</dcterms:modified>
  <cp:category/>
  <cp:version/>
  <cp:contentType/>
  <cp:contentStatus/>
</cp:coreProperties>
</file>